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ЭтаКнига" defaultThemeVersion="124226"/>
  <bookViews>
    <workbookView xWindow="0" yWindow="0" windowWidth="19200" windowHeight="11595" tabRatio="725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6" r:id="rId11"/>
    <sheet name="свод 10 дней" sheetId="15" r:id="rId12"/>
  </sheets>
  <definedNames>
    <definedName name="_xlnm.Print_Area" localSheetId="1">'1 день'!$A$1:$O$15</definedName>
    <definedName name="_xlnm.Print_Area" localSheetId="10">'10 день'!$A$1:$O$13</definedName>
    <definedName name="_xlnm.Print_Area" localSheetId="2">'2 день'!$A$1:$O$15</definedName>
    <definedName name="_xlnm.Print_Area" localSheetId="3">'3 день'!$A$1:$O$15</definedName>
    <definedName name="_xlnm.Print_Area" localSheetId="4">'4 день'!$A$1:$O$13</definedName>
    <definedName name="_xlnm.Print_Area" localSheetId="5">'5 день'!$A$1:$O$15</definedName>
    <definedName name="_xlnm.Print_Area" localSheetId="6">'6 день'!$A$1:$O$16</definedName>
    <definedName name="_xlnm.Print_Area" localSheetId="7">'7 день'!$A$1:$O$13</definedName>
    <definedName name="_xlnm.Print_Area" localSheetId="8">'8 день'!$A$1:$O$16</definedName>
    <definedName name="_xlnm.Print_Area" localSheetId="9">'9 день'!$A$1:$O$15</definedName>
    <definedName name="_xlnm.Print_Area" localSheetId="11">'свод 10 дней'!$A$1:$H$37</definedName>
    <definedName name="_xlnm.Print_Area" localSheetId="0">'Титульный лист'!$A$1:$O$20</definedName>
  </definedNames>
  <calcPr calcId="145621"/>
</workbook>
</file>

<file path=xl/calcChain.xml><?xml version="1.0" encoding="utf-8"?>
<calcChain xmlns="http://schemas.openxmlformats.org/spreadsheetml/2006/main">
  <c r="E13" i="16" l="1"/>
  <c r="O9" i="16"/>
  <c r="N9" i="16"/>
  <c r="M9" i="16"/>
  <c r="L9" i="16"/>
  <c r="K9" i="16"/>
  <c r="J9" i="16"/>
  <c r="I9" i="16"/>
  <c r="H9" i="16"/>
  <c r="G9" i="16"/>
  <c r="F9" i="16"/>
  <c r="E9" i="16"/>
  <c r="O8" i="16"/>
  <c r="N8" i="16"/>
  <c r="M8" i="16"/>
  <c r="L8" i="16"/>
  <c r="K8" i="16"/>
  <c r="I8" i="16"/>
  <c r="H8" i="16"/>
  <c r="G8" i="16"/>
  <c r="G13" i="16" s="1"/>
  <c r="F8" i="16"/>
  <c r="F13" i="16" s="1"/>
  <c r="E8" i="16"/>
  <c r="D8" i="16"/>
  <c r="G13" i="8" l="1"/>
  <c r="F13" i="8"/>
  <c r="E13" i="8"/>
  <c r="D13" i="8"/>
  <c r="O14" i="12"/>
  <c r="N14" i="12"/>
  <c r="M14" i="12"/>
  <c r="L14" i="12"/>
  <c r="K14" i="12"/>
  <c r="J14" i="12"/>
  <c r="I14" i="12"/>
  <c r="H14" i="12"/>
  <c r="G14" i="12"/>
  <c r="F14" i="12"/>
  <c r="E14" i="12"/>
  <c r="D14" i="12"/>
  <c r="N13" i="13" l="1"/>
  <c r="M13" i="13"/>
  <c r="L13" i="13"/>
  <c r="J13" i="13"/>
  <c r="I13" i="13"/>
  <c r="H13" i="13"/>
  <c r="G13" i="13"/>
  <c r="F13" i="13"/>
  <c r="E13" i="13"/>
  <c r="D13" i="13"/>
  <c r="O8" i="8"/>
  <c r="N8" i="8"/>
  <c r="M8" i="8"/>
  <c r="L8" i="8"/>
  <c r="K8" i="8"/>
  <c r="H8" i="8"/>
  <c r="G8" i="8"/>
  <c r="F8" i="8"/>
  <c r="E8" i="8"/>
  <c r="D8" i="8"/>
  <c r="O11" i="8"/>
  <c r="N11" i="8"/>
  <c r="M11" i="8"/>
  <c r="L11" i="8"/>
  <c r="K11" i="8"/>
  <c r="I11" i="8"/>
  <c r="H11" i="8"/>
  <c r="G11" i="8"/>
  <c r="F11" i="8"/>
  <c r="D11" i="8"/>
  <c r="O16" i="7"/>
  <c r="N13" i="7"/>
  <c r="M13" i="7"/>
  <c r="L13" i="7"/>
  <c r="J13" i="7"/>
  <c r="I13" i="7"/>
  <c r="H13" i="7"/>
  <c r="G13" i="7"/>
  <c r="F13" i="7"/>
  <c r="E13" i="7"/>
  <c r="D13" i="7"/>
  <c r="G13" i="11" l="1"/>
  <c r="F13" i="11"/>
  <c r="E13" i="11"/>
  <c r="D13" i="11"/>
  <c r="O8" i="11"/>
  <c r="N8" i="11"/>
  <c r="M8" i="11"/>
  <c r="L8" i="11"/>
  <c r="K8" i="11"/>
  <c r="H8" i="11"/>
  <c r="G8" i="11"/>
  <c r="F8" i="11"/>
  <c r="E8" i="11"/>
  <c r="D8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K10" i="10"/>
  <c r="J10" i="10"/>
  <c r="H10" i="10"/>
  <c r="O9" i="10"/>
  <c r="N9" i="10"/>
  <c r="M9" i="10"/>
  <c r="L9" i="10"/>
  <c r="K9" i="10"/>
  <c r="I9" i="10"/>
  <c r="H9" i="10"/>
  <c r="G9" i="10"/>
  <c r="F9" i="10"/>
  <c r="E9" i="10"/>
  <c r="D9" i="10"/>
  <c r="N13" i="9" l="1"/>
  <c r="M13" i="9"/>
  <c r="L13" i="9"/>
  <c r="J13" i="9"/>
  <c r="I13" i="9"/>
  <c r="H13" i="9"/>
  <c r="G13" i="9"/>
  <c r="F13" i="9"/>
  <c r="E13" i="9"/>
  <c r="D13" i="9"/>
  <c r="N13" i="6"/>
  <c r="M13" i="6"/>
  <c r="L13" i="6"/>
  <c r="J13" i="6"/>
  <c r="I13" i="6"/>
  <c r="H13" i="6"/>
  <c r="G13" i="6"/>
  <c r="F13" i="6"/>
  <c r="E13" i="6"/>
  <c r="D13" i="6"/>
  <c r="O13" i="5"/>
  <c r="N13" i="5"/>
  <c r="M13" i="5"/>
  <c r="L13" i="5"/>
  <c r="K13" i="5"/>
  <c r="J13" i="5"/>
  <c r="I13" i="5"/>
  <c r="H13" i="5"/>
  <c r="G13" i="5"/>
  <c r="F13" i="5"/>
  <c r="E13" i="5"/>
  <c r="D13" i="5"/>
  <c r="O13" i="6"/>
  <c r="F27" i="15" l="1"/>
  <c r="F14" i="15"/>
  <c r="F13" i="15" l="1"/>
  <c r="G13" i="15"/>
  <c r="F32" i="15" l="1"/>
  <c r="F31" i="15"/>
  <c r="F30" i="15"/>
  <c r="F29" i="15"/>
  <c r="F28" i="15"/>
  <c r="G26" i="15"/>
  <c r="F26" i="15"/>
  <c r="F25" i="15"/>
  <c r="F24" i="15"/>
  <c r="F23" i="15"/>
  <c r="G22" i="15"/>
  <c r="F22" i="15"/>
  <c r="G21" i="15"/>
  <c r="F21" i="15"/>
  <c r="G20" i="15"/>
  <c r="F20" i="15"/>
  <c r="G19" i="15"/>
  <c r="F19" i="15"/>
  <c r="G17" i="15"/>
  <c r="F17" i="15"/>
  <c r="G16" i="15"/>
  <c r="F16" i="15"/>
  <c r="G15" i="15"/>
  <c r="F15" i="15"/>
  <c r="G12" i="15"/>
  <c r="F12" i="15"/>
  <c r="G11" i="15"/>
  <c r="F11" i="15"/>
  <c r="G10" i="15"/>
  <c r="F10" i="15"/>
  <c r="F9" i="15"/>
  <c r="F8" i="15"/>
  <c r="F7" i="15"/>
  <c r="G6" i="15"/>
  <c r="F6" i="15"/>
  <c r="O8" i="7"/>
  <c r="N8" i="7"/>
  <c r="M8" i="7"/>
  <c r="L8" i="7"/>
  <c r="K8" i="7"/>
  <c r="J8" i="7"/>
  <c r="I8" i="7"/>
  <c r="H8" i="7"/>
  <c r="G8" i="7"/>
  <c r="F8" i="7"/>
  <c r="E8" i="7"/>
  <c r="D8" i="7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<sst xmlns="http://schemas.openxmlformats.org/spreadsheetml/2006/main" count="429" uniqueCount="127">
  <si>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</si>
  <si>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</si>
  <si>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</si>
  <si>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</si>
  <si>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</si>
  <si>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</si>
  <si>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</si>
  <si>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</si>
  <si>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</si>
  <si>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</si>
  <si>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</si>
  <si>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</si>
  <si>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</si>
  <si>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</si>
  <si>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</si>
  <si>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Тефтели мясные паровые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</si>
  <si>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</si>
  <si>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</si>
  <si>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</si>
  <si>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Масса порции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</si>
  <si>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</si>
  <si>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</si>
  <si>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</si>
  <si>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</si>
  <si>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</si>
  <si>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</si>
  <si>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</si>
  <si>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учреждениях/Под ред, М.П.Могильного и В.А.Тутельяна,-М,:Де/1и плюс, 2015,-544с</t>
  </si>
  <si>
    <t>Завтрак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</si>
  <si>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</si>
  <si>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</si>
  <si>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</si>
  <si>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</si>
  <si>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</si>
  <si>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</si>
  <si>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</si>
  <si>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</si>
  <si>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вторник</t>
  </si>
  <si>
    <t>Какао с молоком</t>
  </si>
  <si>
    <t>среда</t>
  </si>
  <si>
    <t>четверг</t>
  </si>
  <si>
    <t>пятница</t>
  </si>
  <si>
    <t>В1</t>
  </si>
  <si>
    <t>Вареники ленивые отварные с йогуртом</t>
  </si>
  <si>
    <t>Средние показания на день</t>
  </si>
  <si>
    <t>пищевые вещества</t>
  </si>
  <si>
    <t>энергет. ценн. ккал</t>
  </si>
  <si>
    <t>По меню среднее за 10 дней</t>
  </si>
  <si>
    <t>Яйцо куриное сваренное вкрутую</t>
  </si>
  <si>
    <t>вторая</t>
  </si>
  <si>
    <t>Бутерброд с сыром российским (1 шт.)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</si>
  <si>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</si>
  <si>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</si>
  <si>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</si>
  <si>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</si>
  <si>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</si>
  <si>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</si>
  <si>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</si>
  <si>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</si>
  <si>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</si>
  <si>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</si>
  <si>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</si>
  <si>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</si>
  <si>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</si>
  <si>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</si>
  <si>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</si>
  <si>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</si>
  <si>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</si>
  <si>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</si>
  <si>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</si>
  <si>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</si>
  <si>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</si>
  <si>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</si>
  <si>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</si>
  <si>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</si>
  <si>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</si>
  <si>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</si>
  <si>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</si>
  <si>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</si>
  <si>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</si>
  <si>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</si>
  <si>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</si>
  <si>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</si>
  <si>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</si>
  <si>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</si>
  <si>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</si>
  <si>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</si>
  <si>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</si>
  <si>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</si>
  <si>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</si>
  <si>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Напиток кофейный с молоком</t>
  </si>
  <si>
    <t>Омлет натуральный, сваренный на пару.</t>
  </si>
  <si>
    <t>200/10</t>
  </si>
  <si>
    <t>Сыр российский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</si>
  <si>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</si>
  <si>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</si>
  <si>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</si>
  <si>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</si>
  <si>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</si>
  <si>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</si>
  <si>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Сметана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</si>
  <si>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</si>
  <si>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</si>
  <si>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Чай -заварка</t>
  </si>
  <si>
    <t>Компот из свежих яблок</t>
  </si>
  <si>
    <t xml:space="preserve">              Утверждено:</t>
  </si>
  <si>
    <t xml:space="preserve">                                                       Директор МОУ "Филиппковская НОШ"</t>
  </si>
  <si>
    <t xml:space="preserve">            _____________Т.А.Близнюк</t>
  </si>
  <si>
    <t xml:space="preserve">ПРИМЕРНОЕ МЕНЮ </t>
  </si>
  <si>
    <t>для учащихся I - IV  классов   МОУ" Филиппковская НОШ" Бежецкого района Тверской</t>
  </si>
  <si>
    <t>(горячих завтраков на 10 дней)</t>
  </si>
  <si>
    <t>Понедельник</t>
  </si>
  <si>
    <t>Потребность по СаН ПиН (20-25%)</t>
  </si>
  <si>
    <t>400-550</t>
  </si>
  <si>
    <t>48-60</t>
  </si>
  <si>
    <t>Чай  с лимоном</t>
  </si>
  <si>
    <t>200/15/7</t>
  </si>
  <si>
    <t>Рыба припущенная (минтай)    с маслом</t>
  </si>
  <si>
    <t>Гуляш из отварного мяса  в томатно-сметанном соусе</t>
  </si>
  <si>
    <t>Компот из сухофруктов</t>
  </si>
  <si>
    <t>Сырники из творога со сметаной</t>
  </si>
  <si>
    <t>Фрукты (в ассортименте)</t>
  </si>
  <si>
    <t>Сок  фруктовый (в ассортименте)</t>
  </si>
  <si>
    <t>12-16</t>
  </si>
  <si>
    <t>области,   в соответствии с МР 2.4.0179-20 "Рекомендации по организации питания обучающихся общеобразовательных организаций (Москва 2020)</t>
  </si>
  <si>
    <t>Котлеты рыбные  2 шт.</t>
  </si>
  <si>
    <t xml:space="preserve">            Приказ от 24.08.2026 г. № 27-1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</si>
</sst>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4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7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vertical="top" wrapText="1"/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vertical="center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7" fillId="4" borderId="1" xfId="0" applyFont="1" applyFill="1" applyBorder="1" applyAlignment="1" applyProtection="1">
      <alignment vertical="top" wrapText="1"/>
      <protection hidden="1"/>
    </xf>
    <xf numFmtId="0" fontId="21" fillId="0" borderId="0" xfId="0" applyFont="1" applyAlignment="1">
      <alignment vertical="center" wrapText="1"/>
    </xf>
    <xf numFmtId="0" fontId="22" fillId="3" borderId="0" xfId="0" applyFont="1" applyFill="1" applyBorder="1" applyAlignment="1">
      <alignment vertical="center" wrapText="1"/>
    </xf>
    <xf numFmtId="0" fontId="2" fillId="0" borderId="1" xfId="0" applyFont="1" applyBorder="1"/>
    <xf numFmtId="0" fontId="23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2" fillId="0" borderId="0" xfId="0" applyFont="1" applyFill="1" applyBorder="1" applyProtection="1"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43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24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vertical="top" wrapText="1"/>
      <protection hidden="1"/>
    </xf>
    <xf numFmtId="43" fontId="32" fillId="0" borderId="1" xfId="1" applyFont="1" applyFill="1" applyBorder="1" applyAlignment="1" applyProtection="1">
      <alignment vertical="center" wrapText="1"/>
      <protection hidden="1"/>
    </xf>
    <xf numFmtId="0" fontId="33" fillId="0" borderId="0" xfId="0" applyFont="1" applyFill="1" applyProtection="1">
      <protection hidden="1"/>
    </xf>
    <xf numFmtId="0" fontId="33" fillId="0" borderId="0" xfId="0" applyFont="1"/>
    <xf numFmtId="0" fontId="26" fillId="0" borderId="0" xfId="0" applyFont="1" applyFill="1"/>
    <xf numFmtId="0" fontId="36" fillId="0" borderId="0" xfId="0" applyFont="1"/>
    <xf numFmtId="0" fontId="37" fillId="3" borderId="1" xfId="0" applyFont="1" applyFill="1" applyBorder="1" applyAlignment="1">
      <alignment vertical="center" wrapText="1"/>
    </xf>
    <xf numFmtId="0" fontId="37" fillId="3" borderId="1" xfId="0" applyFont="1" applyFill="1" applyBorder="1" applyAlignment="1">
      <alignment horizontal="left" vertical="top" wrapText="1"/>
    </xf>
    <xf numFmtId="2" fontId="38" fillId="0" borderId="1" xfId="0" applyNumberFormat="1" applyFont="1" applyBorder="1"/>
    <xf numFmtId="0" fontId="37" fillId="4" borderId="1" xfId="0" applyFont="1" applyFill="1" applyBorder="1" applyAlignment="1">
      <alignment horizontal="left" vertical="top" wrapText="1"/>
    </xf>
    <xf numFmtId="2" fontId="38" fillId="4" borderId="1" xfId="0" applyNumberFormat="1" applyFont="1" applyFill="1" applyBorder="1"/>
    <xf numFmtId="0" fontId="36" fillId="4" borderId="0" xfId="0" applyFont="1" applyFill="1"/>
    <xf numFmtId="0" fontId="36" fillId="6" borderId="0" xfId="0" applyFont="1" applyFill="1"/>
    <xf numFmtId="2" fontId="38" fillId="0" borderId="1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6" fillId="0" borderId="0" xfId="0" applyNumberFormat="1" applyFont="1"/>
    <xf numFmtId="0" fontId="31" fillId="0" borderId="1" xfId="0" applyNumberFormat="1" applyFont="1" applyFill="1" applyBorder="1" applyAlignment="1" applyProtection="1">
      <alignment horizontal="center" vertical="top" wrapText="1"/>
      <protection hidden="1"/>
    </xf>
    <xf numFmtId="0" fontId="26" fillId="0" borderId="0" xfId="0" applyNumberFormat="1" applyFont="1" applyBorder="1"/>
    <xf numFmtId="0" fontId="26" fillId="0" borderId="0" xfId="0" applyFont="1" applyFill="1" applyBorder="1"/>
    <xf numFmtId="0" fontId="33" fillId="0" borderId="0" xfId="0" applyFont="1" applyFill="1" applyBorder="1" applyProtection="1">
      <protection hidden="1"/>
    </xf>
    <xf numFmtId="0" fontId="33" fillId="0" borderId="0" xfId="0" applyFont="1" applyBorder="1"/>
    <xf numFmtId="0" fontId="40" fillId="0" borderId="1" xfId="0" applyNumberFormat="1" applyFont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Protection="1">
      <protection hidden="1"/>
    </xf>
    <xf numFmtId="0" fontId="0" fillId="0" borderId="0" xfId="0" applyBorder="1" applyAlignment="1">
      <alignment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7" borderId="1" xfId="0" applyFont="1" applyFill="1" applyBorder="1" applyAlignment="1" applyProtection="1">
      <alignment vertical="top" wrapText="1"/>
      <protection hidden="1"/>
    </xf>
    <xf numFmtId="0" fontId="2" fillId="7" borderId="1" xfId="0" applyFont="1" applyFill="1" applyBorder="1" applyAlignment="1" applyProtection="1">
      <alignment vertical="top" wrapText="1"/>
      <protection hidden="1"/>
    </xf>
    <xf numFmtId="43" fontId="2" fillId="7" borderId="1" xfId="0" applyNumberFormat="1" applyFont="1" applyFill="1" applyBorder="1" applyAlignment="1" applyProtection="1">
      <alignment vertical="top" wrapText="1"/>
      <protection hidden="1"/>
    </xf>
    <xf numFmtId="43" fontId="5" fillId="7" borderId="1" xfId="0" applyNumberFormat="1" applyFont="1" applyFill="1" applyBorder="1" applyAlignment="1" applyProtection="1">
      <alignment vertical="center" wrapText="1"/>
      <protection hidden="1"/>
    </xf>
    <xf numFmtId="0" fontId="34" fillId="7" borderId="2" xfId="0" applyFont="1" applyFill="1" applyBorder="1" applyAlignment="1" applyProtection="1">
      <alignment vertical="top"/>
      <protection hidden="1"/>
    </xf>
    <xf numFmtId="0" fontId="26" fillId="7" borderId="1" xfId="0" applyFont="1" applyFill="1" applyBorder="1" applyAlignment="1" applyProtection="1">
      <alignment vertical="top"/>
      <protection hidden="1"/>
    </xf>
    <xf numFmtId="0" fontId="26" fillId="7" borderId="1" xfId="0" applyNumberFormat="1" applyFont="1" applyFill="1" applyBorder="1" applyAlignment="1" applyProtection="1">
      <alignment vertical="top"/>
      <protection hidden="1"/>
    </xf>
    <xf numFmtId="43" fontId="26" fillId="7" borderId="1" xfId="0" applyNumberFormat="1" applyFont="1" applyFill="1" applyBorder="1" applyAlignment="1" applyProtection="1">
      <alignment vertical="top"/>
      <protection hidden="1"/>
    </xf>
    <xf numFmtId="43" fontId="5" fillId="7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2" fillId="7" borderId="1" xfId="0" applyFont="1" applyFill="1" applyBorder="1" applyAlignment="1" applyProtection="1">
      <alignment horizontal="justify"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23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9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/>
    <xf numFmtId="0" fontId="33" fillId="0" borderId="0" xfId="0" applyFont="1" applyFill="1"/>
    <xf numFmtId="0" fontId="0" fillId="7" borderId="0" xfId="0" applyFill="1"/>
    <xf numFmtId="0" fontId="15" fillId="0" borderId="0" xfId="0" applyFont="1" applyAlignment="1">
      <alignment horizontal="center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43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wrapText="1"/>
    </xf>
    <xf numFmtId="0" fontId="6" fillId="0" borderId="1" xfId="0" applyNumberFormat="1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top" wrapText="1"/>
      <protection hidden="1"/>
    </xf>
    <xf numFmtId="2" fontId="36" fillId="0" borderId="0" xfId="0" applyNumberFormat="1" applyFont="1"/>
    <xf numFmtId="49" fontId="19" fillId="0" borderId="12" xfId="0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43" fillId="0" borderId="0" xfId="0" applyFont="1"/>
    <xf numFmtId="14" fontId="0" fillId="0" borderId="0" xfId="0" applyNumberFormat="1" applyAlignment="1">
      <alignment horizontal="left" wrapText="1"/>
    </xf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Fill="1" applyBorder="1" applyAlignment="1" applyProtection="1">
      <alignment horizontal="center" vertical="top" wrapText="1"/>
      <protection hidden="1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43" fontId="7" fillId="0" borderId="23" xfId="1" applyFont="1" applyFill="1" applyBorder="1" applyAlignment="1" applyProtection="1">
      <alignment horizontal="center" vertical="center" wrapText="1"/>
      <protection hidden="1"/>
    </xf>
    <xf numFmtId="43" fontId="7" fillId="0" borderId="20" xfId="1" applyFont="1" applyFill="1" applyBorder="1" applyAlignment="1" applyProtection="1">
      <alignment horizontal="center" vertical="center" wrapText="1"/>
      <protection hidden="1"/>
    </xf>
    <xf numFmtId="43" fontId="7" fillId="0" borderId="21" xfId="1" applyFont="1" applyFill="1" applyBorder="1" applyAlignment="1" applyProtection="1">
      <alignment horizontal="center" vertical="center" wrapText="1"/>
      <protection hidden="1"/>
    </xf>
    <xf numFmtId="43" fontId="7" fillId="0" borderId="24" xfId="1" applyFont="1" applyFill="1" applyBorder="1" applyAlignment="1" applyProtection="1">
      <alignment horizontal="center" vertical="center" wrapText="1"/>
      <protection hidden="1"/>
    </xf>
    <xf numFmtId="43" fontId="7" fillId="0" borderId="0" xfId="1" applyFont="1" applyFill="1" applyBorder="1" applyAlignment="1" applyProtection="1">
      <alignment horizontal="center" vertical="center" wrapText="1"/>
      <protection hidden="1"/>
    </xf>
    <xf numFmtId="43" fontId="7" fillId="0" borderId="22" xfId="1" applyFont="1" applyFill="1" applyBorder="1" applyAlignment="1" applyProtection="1">
      <alignment horizontal="center" vertical="center" wrapText="1"/>
      <protection hidden="1"/>
    </xf>
    <xf numFmtId="43" fontId="7" fillId="0" borderId="25" xfId="1" applyFont="1" applyFill="1" applyBorder="1" applyAlignment="1" applyProtection="1">
      <alignment horizontal="center" vertical="center" wrapText="1"/>
      <protection hidden="1"/>
    </xf>
    <xf numFmtId="43" fontId="7" fillId="0" borderId="18" xfId="1" applyFont="1" applyFill="1" applyBorder="1" applyAlignment="1" applyProtection="1">
      <alignment horizontal="center" vertical="center" wrapText="1"/>
      <protection hidden="1"/>
    </xf>
    <xf numFmtId="43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3" xfId="0" applyFont="1" applyFill="1" applyBorder="1" applyAlignment="1" applyProtection="1">
      <alignment horizontal="center" vertical="center" wrapText="1"/>
      <protection hidden="1"/>
    </xf>
    <xf numFmtId="0" fontId="27" fillId="2" borderId="4" xfId="0" applyFont="1" applyFill="1" applyBorder="1" applyAlignment="1" applyProtection="1">
      <alignment horizontal="center" vertical="center" wrapText="1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vertical="center" wrapText="1"/>
      <protection hidden="1"/>
    </xf>
    <xf numFmtId="0" fontId="2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6" xfId="0" applyNumberFormat="1" applyFont="1" applyBorder="1" applyAlignment="1" applyProtection="1">
      <alignment horizontal="center" vertical="center" wrapText="1"/>
      <protection hidden="1"/>
    </xf>
    <xf numFmtId="0" fontId="29" fillId="0" borderId="5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31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6" xfId="0" applyFont="1" applyFill="1" applyBorder="1" applyAlignment="1" applyProtection="1">
      <alignment horizontal="center" vertical="top" wrapText="1"/>
      <protection hidden="1"/>
    </xf>
    <xf numFmtId="0" fontId="39" fillId="0" borderId="23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43" fontId="32" fillId="0" borderId="2" xfId="1" applyFont="1" applyFill="1" applyBorder="1" applyAlignment="1" applyProtection="1">
      <alignment horizontal="center" vertical="center" wrapText="1"/>
      <protection hidden="1"/>
    </xf>
    <xf numFmtId="43" fontId="32" fillId="0" borderId="3" xfId="1" applyFont="1" applyFill="1" applyBorder="1" applyAlignment="1" applyProtection="1">
      <alignment horizontal="center" vertical="center" wrapText="1"/>
      <protection hidden="1"/>
    </xf>
    <xf numFmtId="43" fontId="32" fillId="0" borderId="4" xfId="1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43" fontId="7" fillId="0" borderId="2" xfId="1" applyFont="1" applyFill="1" applyBorder="1" applyAlignment="1" applyProtection="1">
      <alignment horizontal="center" vertical="center" wrapText="1"/>
      <protection hidden="1"/>
    </xf>
    <xf numFmtId="43" fontId="7" fillId="0" borderId="3" xfId="1" applyFont="1" applyFill="1" applyBorder="1" applyAlignment="1" applyProtection="1">
      <alignment horizontal="center" vertical="center" wrapText="1"/>
      <protection hidden="1"/>
    </xf>
    <xf numFmtId="43" fontId="7" fillId="0" borderId="4" xfId="1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7" fillId="3" borderId="5" xfId="0" applyFont="1" applyFill="1" applyBorder="1" applyAlignment="1">
      <alignment horizontal="center" vertical="center" wrapText="1"/>
    </xf>
    <xf numFmtId="0" fontId="37" fillId="3" borderId="6" xfId="0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center" wrapText="1"/>
    </xf>
    <xf numFmtId="0" fontId="37" fillId="3" borderId="4" xfId="0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top" wrapText="1"/>
    </xf>
    <xf numFmtId="0" fontId="37" fillId="3" borderId="4" xfId="0" applyFont="1" applyFill="1" applyBorder="1" applyAlignment="1">
      <alignment horizontal="center" vertical="top" wrapText="1"/>
    </xf>
    <xf numFmtId="0" fontId="37" fillId="4" borderId="2" xfId="0" applyFont="1" applyFill="1" applyBorder="1" applyAlignment="1">
      <alignment horizontal="center" vertical="top" wrapText="1"/>
    </xf>
    <xf numFmtId="0" fontId="37" fillId="4" borderId="4" xfId="0" applyFont="1" applyFill="1" applyBorder="1" applyAlignment="1">
      <alignment horizontal="center" vertical="top" wrapText="1"/>
    </xf>
    <xf numFmtId="0" fontId="37" fillId="3" borderId="2" xfId="0" applyFont="1" applyFill="1" applyBorder="1" applyAlignment="1">
      <alignment horizontal="center" vertical="top"/>
    </xf>
    <xf numFmtId="0" fontId="37" fillId="3" borderId="4" xfId="0" applyFont="1" applyFill="1" applyBorder="1" applyAlignment="1">
      <alignment horizontal="center" vertical="top"/>
    </xf>
    <xf numFmtId="49" fontId="18" fillId="5" borderId="16" xfId="0" applyNumberFormat="1" applyFont="1" applyFill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 wrapText="1"/>
    </xf>
    <xf numFmtId="49" fontId="18" fillId="5" borderId="7" xfId="0" applyNumberFormat="1" applyFont="1" applyFill="1" applyBorder="1" applyAlignment="1">
      <alignment horizontal="center" vertical="center" wrapText="1"/>
    </xf>
    <xf numFmtId="49" fontId="18" fillId="5" borderId="8" xfId="0" applyNumberFormat="1" applyFont="1" applyFill="1" applyBorder="1" applyAlignment="1">
      <alignment horizontal="center" vertical="center" wrapText="1"/>
    </xf>
    <xf numFmtId="49" fontId="18" fillId="5" borderId="13" xfId="0" applyNumberFormat="1" applyFont="1" applyFill="1" applyBorder="1" applyAlignment="1">
      <alignment horizontal="center" vertical="center" wrapText="1"/>
    </xf>
    <xf numFmtId="49" fontId="18" fillId="5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P21"/>
  <sheetViews>
    <sheetView tabSelected="1" view="pageBreakPreview" zoomScale="98" zoomScaleNormal="70" zoomScaleSheetLayoutView="98" workbookViewId="0">
      <selection activeCell="A11" sqref="A11:O11"/>
    </sheetView>
  </sheetViews>
  <sheetFormatPr defaultColWidth="8.85546875" defaultRowHeight="15" x14ac:dyDescent="0.2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6" ht="32.25" x14ac:dyDescent="0.5">
      <c r="A1" s="3"/>
      <c r="B1" s="4"/>
      <c r="C1" s="4"/>
      <c r="D1" s="4"/>
      <c r="E1" s="4"/>
      <c r="F1" s="4"/>
      <c r="G1" s="4"/>
      <c r="H1" s="4"/>
      <c r="I1" s="4"/>
      <c r="J1" s="4"/>
      <c r="K1" s="4" t="s">
        <v>105</v>
      </c>
      <c r="L1" s="4"/>
      <c r="M1" s="4"/>
      <c r="N1" s="4"/>
      <c r="O1" s="3"/>
    </row>
    <row r="2" spans="1:16" x14ac:dyDescent="0.25">
      <c r="I2" s="1" t="s">
        <v>106</v>
      </c>
    </row>
    <row r="3" spans="1:16" x14ac:dyDescent="0.25">
      <c r="K3" s="1" t="s">
        <v>107</v>
      </c>
    </row>
    <row r="4" spans="1:16" x14ac:dyDescent="0.25">
      <c r="K4" s="111" t="s">
        <v>126</v>
      </c>
      <c r="L4" s="111"/>
      <c r="M4" s="111"/>
      <c r="N4" s="111"/>
    </row>
    <row r="6" spans="1:16" ht="32.25" x14ac:dyDescent="0.5">
      <c r="B6" s="113" t="s">
        <v>108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</row>
    <row r="7" spans="1:16" ht="32.25" x14ac:dyDescent="0.5">
      <c r="B7" s="113" t="s">
        <v>110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" ht="21" x14ac:dyDescent="0.35">
      <c r="E8" s="4"/>
      <c r="F8" s="4"/>
    </row>
    <row r="10" spans="1:16" ht="19.5" customHeight="1" x14ac:dyDescent="0.35">
      <c r="A10" s="117" t="s">
        <v>109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</row>
    <row r="11" spans="1:16" ht="42.75" customHeight="1" x14ac:dyDescent="0.35">
      <c r="A11" s="117" t="s">
        <v>124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</row>
    <row r="12" spans="1:16" ht="21" x14ac:dyDescent="0.35">
      <c r="A12" s="119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</row>
    <row r="13" spans="1:16" ht="21" x14ac:dyDescent="0.35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</row>
    <row r="14" spans="1:16" ht="21" x14ac:dyDescent="0.35">
      <c r="A14" s="117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</row>
    <row r="15" spans="1:16" x14ac:dyDescent="0.2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</row>
    <row r="16" spans="1:16" ht="21" x14ac:dyDescent="0.35">
      <c r="A16" s="115" t="s">
        <v>22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6" ht="21" x14ac:dyDescent="0.35">
      <c r="A17" s="100"/>
      <c r="B17" s="115" t="s">
        <v>27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 spans="1:16" ht="21" x14ac:dyDescent="0.35">
      <c r="A18" s="115" t="s">
        <v>20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19" spans="1:16" ht="21" x14ac:dyDescent="0.35">
      <c r="A19" s="115" t="s">
        <v>21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</row>
    <row r="20" spans="1:16" ht="18.75" x14ac:dyDescent="0.3">
      <c r="A20" s="2"/>
    </row>
    <row r="21" spans="1:16" ht="18.75" x14ac:dyDescent="0.3">
      <c r="A21" s="2"/>
    </row>
  </sheetData>
  <sheetProtection selectLockedCells="1" selectUnlockedCells="1"/>
  <mergeCells count="11">
    <mergeCell ref="B6:P6"/>
    <mergeCell ref="B7:P7"/>
    <mergeCell ref="A19:O19"/>
    <mergeCell ref="A10:O10"/>
    <mergeCell ref="A11:O11"/>
    <mergeCell ref="A14:O14"/>
    <mergeCell ref="A16:O16"/>
    <mergeCell ref="A12:O12"/>
    <mergeCell ref="A13:O13"/>
    <mergeCell ref="B17:P17"/>
    <mergeCell ref="A18:O18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orientation="landscape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R15"/>
  <sheetViews>
    <sheetView view="pageBreakPreview" zoomScale="98" zoomScaleNormal="100" zoomScaleSheetLayoutView="98" workbookViewId="0">
      <selection activeCell="G19" sqref="G19"/>
    </sheetView>
  </sheetViews>
  <sheetFormatPr defaultRowHeight="15" x14ac:dyDescent="0.2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8" ht="15.75" x14ac:dyDescent="0.25">
      <c r="A1" s="12" t="s">
        <v>29</v>
      </c>
      <c r="B1" s="11" t="s">
        <v>40</v>
      </c>
    </row>
    <row r="2" spans="1:18" ht="15.75" x14ac:dyDescent="0.25">
      <c r="A2" s="12" t="s">
        <v>31</v>
      </c>
      <c r="B2" s="11" t="s">
        <v>49</v>
      </c>
    </row>
    <row r="3" spans="1:18" ht="15.75" x14ac:dyDescent="0.25">
      <c r="A3" s="12" t="s">
        <v>33</v>
      </c>
      <c r="B3" s="11" t="s">
        <v>34</v>
      </c>
    </row>
    <row r="4" spans="1:18" ht="63" x14ac:dyDescent="0.25">
      <c r="A4" s="12" t="s">
        <v>35</v>
      </c>
      <c r="B4" s="11" t="s">
        <v>36</v>
      </c>
    </row>
    <row r="5" spans="1:18" ht="15.75" x14ac:dyDescent="0.25">
      <c r="A5" s="177" t="s">
        <v>23</v>
      </c>
      <c r="B5" s="177" t="s">
        <v>18</v>
      </c>
      <c r="C5" s="177" t="s">
        <v>19</v>
      </c>
      <c r="D5" s="174" t="s">
        <v>26</v>
      </c>
      <c r="E5" s="175"/>
      <c r="F5" s="176"/>
      <c r="G5" s="177" t="s">
        <v>0</v>
      </c>
      <c r="H5" s="174" t="s">
        <v>25</v>
      </c>
      <c r="I5" s="175"/>
      <c r="J5" s="175"/>
      <c r="K5" s="176"/>
      <c r="L5" s="174" t="s">
        <v>24</v>
      </c>
      <c r="M5" s="175"/>
      <c r="N5" s="175"/>
      <c r="O5" s="176"/>
    </row>
    <row r="6" spans="1:18" ht="15.75" x14ac:dyDescent="0.25">
      <c r="A6" s="178"/>
      <c r="B6" s="179"/>
      <c r="C6" s="180"/>
      <c r="D6" s="5" t="s">
        <v>1</v>
      </c>
      <c r="E6" s="5" t="s">
        <v>2</v>
      </c>
      <c r="F6" s="5" t="s">
        <v>3</v>
      </c>
      <c r="G6" s="178"/>
      <c r="H6" s="5" t="s">
        <v>17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8</v>
      </c>
      <c r="N6" s="5" t="s">
        <v>9</v>
      </c>
      <c r="O6" s="5" t="s">
        <v>10</v>
      </c>
    </row>
    <row r="7" spans="1:18" s="9" customFormat="1" ht="16.149999999999999" customHeight="1" x14ac:dyDescent="0.2">
      <c r="A7" s="172" t="s">
        <v>28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1:18" s="13" customFormat="1" x14ac:dyDescent="0.25">
      <c r="A8" s="121">
        <v>186</v>
      </c>
      <c r="B8" s="7" t="s">
        <v>120</v>
      </c>
      <c r="C8" s="73">
        <v>160</v>
      </c>
      <c r="D8" s="15">
        <v>24.6</v>
      </c>
      <c r="E8" s="15">
        <v>15.29</v>
      </c>
      <c r="F8" s="15">
        <v>62.31</v>
      </c>
      <c r="G8" s="15">
        <v>393.12</v>
      </c>
      <c r="H8" s="15">
        <v>7.3999999999999996E-2</v>
      </c>
      <c r="I8" s="15">
        <v>0.57999999999999996</v>
      </c>
      <c r="J8" s="15"/>
      <c r="K8" s="15"/>
      <c r="L8" s="15">
        <v>142.97</v>
      </c>
      <c r="M8" s="15"/>
      <c r="N8" s="15"/>
      <c r="O8" s="15">
        <v>0.60899999999999999</v>
      </c>
    </row>
    <row r="9" spans="1:18" s="13" customFormat="1" x14ac:dyDescent="0.25">
      <c r="A9" s="123"/>
      <c r="B9" s="7" t="s">
        <v>100</v>
      </c>
      <c r="C9" s="73">
        <v>20</v>
      </c>
      <c r="D9" s="184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6"/>
    </row>
    <row r="10" spans="1:18" s="13" customFormat="1" x14ac:dyDescent="0.25">
      <c r="A10" s="121">
        <v>2</v>
      </c>
      <c r="B10" s="7" t="s">
        <v>98</v>
      </c>
      <c r="C10" s="69">
        <v>60</v>
      </c>
      <c r="D10" s="105">
        <v>3.7</v>
      </c>
      <c r="E10" s="105">
        <v>8.5</v>
      </c>
      <c r="F10" s="105">
        <v>26.25</v>
      </c>
      <c r="G10" s="105">
        <v>155</v>
      </c>
      <c r="H10" s="105">
        <v>3.4000000000000002E-2</v>
      </c>
      <c r="I10" s="105"/>
      <c r="J10" s="105">
        <v>0.13</v>
      </c>
      <c r="K10" s="105">
        <v>0.44</v>
      </c>
      <c r="L10" s="105">
        <v>8.4</v>
      </c>
      <c r="M10" s="105">
        <v>22.5</v>
      </c>
      <c r="N10" s="105">
        <v>4.2</v>
      </c>
      <c r="O10" s="105">
        <v>0.35</v>
      </c>
    </row>
    <row r="11" spans="1:18" s="13" customFormat="1" x14ac:dyDescent="0.25">
      <c r="A11" s="122"/>
      <c r="B11" s="33" t="s">
        <v>99</v>
      </c>
      <c r="C11" s="70">
        <v>50</v>
      </c>
      <c r="D11" s="154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6"/>
    </row>
    <row r="12" spans="1:18" s="13" customFormat="1" x14ac:dyDescent="0.25">
      <c r="A12" s="123"/>
      <c r="B12" s="31" t="s">
        <v>79</v>
      </c>
      <c r="C12" s="70">
        <v>10</v>
      </c>
      <c r="D12" s="157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9"/>
    </row>
    <row r="13" spans="1:18" s="13" customFormat="1" x14ac:dyDescent="0.25">
      <c r="A13" s="92">
        <v>379</v>
      </c>
      <c r="B13" s="7" t="s">
        <v>90</v>
      </c>
      <c r="C13" s="92">
        <v>200</v>
      </c>
      <c r="D13" s="15">
        <f>15.83/5</f>
        <v>3.1659999999999999</v>
      </c>
      <c r="E13" s="15">
        <f>13.39/5</f>
        <v>2.6779999999999999</v>
      </c>
      <c r="F13" s="15">
        <f>79.73/5</f>
        <v>15.946000000000002</v>
      </c>
      <c r="G13" s="15">
        <f>503/5</f>
        <v>100.6</v>
      </c>
      <c r="H13" s="15">
        <f>0.22/5</f>
        <v>4.3999999999999997E-2</v>
      </c>
      <c r="I13" s="15">
        <f>6.5/5</f>
        <v>1.3</v>
      </c>
      <c r="J13" s="15">
        <f>100/5</f>
        <v>20</v>
      </c>
      <c r="K13" s="15"/>
      <c r="L13" s="15">
        <f>628.9/5</f>
        <v>125.78</v>
      </c>
      <c r="M13" s="15">
        <f>450/5</f>
        <v>90</v>
      </c>
      <c r="N13" s="15">
        <f>70/5</f>
        <v>14</v>
      </c>
      <c r="O13" s="102"/>
    </row>
    <row r="14" spans="1:18" s="13" customFormat="1" x14ac:dyDescent="0.25">
      <c r="A14" s="92"/>
      <c r="B14" s="7" t="s">
        <v>121</v>
      </c>
      <c r="C14" s="6" t="s">
        <v>82</v>
      </c>
      <c r="D14" s="8">
        <v>0.8</v>
      </c>
      <c r="E14" s="8">
        <v>0.35</v>
      </c>
      <c r="F14" s="8">
        <v>16.05</v>
      </c>
      <c r="G14" s="8">
        <v>73</v>
      </c>
      <c r="H14" s="8"/>
      <c r="I14" s="8">
        <v>21.25</v>
      </c>
      <c r="J14" s="8"/>
      <c r="K14" s="8"/>
      <c r="L14" s="8">
        <v>19.5</v>
      </c>
      <c r="M14" s="8"/>
      <c r="N14" s="8">
        <v>19</v>
      </c>
      <c r="O14" s="8"/>
    </row>
    <row r="15" spans="1:18" s="23" customFormat="1" ht="16.149999999999999" customHeight="1" x14ac:dyDescent="0.2">
      <c r="A15" s="79" t="s">
        <v>11</v>
      </c>
      <c r="B15" s="80"/>
      <c r="C15" s="80"/>
      <c r="D15" s="87">
        <v>32.270000000000003</v>
      </c>
      <c r="E15" s="87">
        <v>26.82</v>
      </c>
      <c r="F15" s="87">
        <v>120.56</v>
      </c>
      <c r="G15" s="87">
        <v>721.72</v>
      </c>
      <c r="H15" s="87"/>
      <c r="I15" s="87"/>
      <c r="J15" s="87"/>
      <c r="K15" s="87"/>
      <c r="L15" s="87"/>
      <c r="M15" s="87"/>
      <c r="N15" s="87"/>
      <c r="O15" s="87"/>
      <c r="P15" s="35"/>
      <c r="Q15" s="35"/>
      <c r="R15" s="35"/>
    </row>
  </sheetData>
  <sheetProtection formatCells="0" formatColumns="0" formatRows="0" insertColumns="0" insertRows="0" insertHyperlinks="0" deleteColumns="0" deleteRows="0" sort="0" autoFilter="0" pivotTables="0"/>
  <mergeCells count="12">
    <mergeCell ref="A7:O7"/>
    <mergeCell ref="A8:A9"/>
    <mergeCell ref="A10:A12"/>
    <mergeCell ref="D11:O12"/>
    <mergeCell ref="D9:O9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Normal="100" zoomScaleSheetLayoutView="100" workbookViewId="0">
      <selection activeCell="I18" sqref="I18"/>
    </sheetView>
  </sheetViews>
  <sheetFormatPr defaultRowHeight="15" x14ac:dyDescent="0.2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15" ht="15.75" x14ac:dyDescent="0.25">
      <c r="A1" s="12" t="s">
        <v>29</v>
      </c>
      <c r="B1" s="112" t="s">
        <v>41</v>
      </c>
    </row>
    <row r="2" spans="1:15" ht="22.5" customHeight="1" x14ac:dyDescent="0.25">
      <c r="A2" s="12" t="s">
        <v>31</v>
      </c>
      <c r="B2" s="11" t="s">
        <v>49</v>
      </c>
    </row>
    <row r="3" spans="1:15" ht="15.75" x14ac:dyDescent="0.25">
      <c r="A3" s="12" t="s">
        <v>33</v>
      </c>
      <c r="B3" s="11" t="s">
        <v>34</v>
      </c>
    </row>
    <row r="4" spans="1:15" ht="47.25" customHeight="1" x14ac:dyDescent="0.25">
      <c r="A4" s="12" t="s">
        <v>35</v>
      </c>
      <c r="B4" s="11" t="s">
        <v>36</v>
      </c>
    </row>
    <row r="5" spans="1:15" ht="15.75" x14ac:dyDescent="0.25">
      <c r="A5" s="177" t="s">
        <v>23</v>
      </c>
      <c r="B5" s="177" t="s">
        <v>18</v>
      </c>
      <c r="C5" s="177" t="s">
        <v>19</v>
      </c>
      <c r="D5" s="174" t="s">
        <v>26</v>
      </c>
      <c r="E5" s="175"/>
      <c r="F5" s="176"/>
      <c r="G5" s="177" t="s">
        <v>0</v>
      </c>
      <c r="H5" s="174" t="s">
        <v>25</v>
      </c>
      <c r="I5" s="175"/>
      <c r="J5" s="175"/>
      <c r="K5" s="176"/>
      <c r="L5" s="174" t="s">
        <v>24</v>
      </c>
      <c r="M5" s="175"/>
      <c r="N5" s="175"/>
      <c r="O5" s="176"/>
    </row>
    <row r="6" spans="1:15" ht="15.75" x14ac:dyDescent="0.25">
      <c r="A6" s="178"/>
      <c r="B6" s="179"/>
      <c r="C6" s="180"/>
      <c r="D6" s="5" t="s">
        <v>1</v>
      </c>
      <c r="E6" s="5" t="s">
        <v>2</v>
      </c>
      <c r="F6" s="5" t="s">
        <v>3</v>
      </c>
      <c r="G6" s="178"/>
      <c r="H6" s="5" t="s">
        <v>17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8</v>
      </c>
      <c r="N6" s="5" t="s">
        <v>9</v>
      </c>
      <c r="O6" s="5" t="s">
        <v>10</v>
      </c>
    </row>
    <row r="7" spans="1:15" s="9" customFormat="1" ht="16.149999999999999" customHeight="1" x14ac:dyDescent="0.2">
      <c r="A7" s="71"/>
      <c r="B7" s="36"/>
      <c r="C7" s="36"/>
      <c r="D7" s="36"/>
      <c r="E7" s="36"/>
      <c r="F7" s="36"/>
      <c r="G7" s="36" t="s">
        <v>28</v>
      </c>
      <c r="H7" s="36"/>
      <c r="I7" s="36"/>
      <c r="J7" s="36"/>
      <c r="K7" s="36"/>
      <c r="L7" s="36"/>
      <c r="M7" s="36"/>
      <c r="N7" s="36"/>
      <c r="O7" s="36"/>
    </row>
    <row r="8" spans="1:15" s="9" customFormat="1" ht="16.149999999999999" customHeight="1" x14ac:dyDescent="0.2">
      <c r="A8" s="6">
        <v>312</v>
      </c>
      <c r="B8" s="7" t="s">
        <v>13</v>
      </c>
      <c r="C8" s="104">
        <v>150</v>
      </c>
      <c r="D8" s="8">
        <f>20.473/100*15</f>
        <v>3.0709499999999998</v>
      </c>
      <c r="E8" s="8">
        <f>32.01/100/15</f>
        <v>2.1340000000000001E-2</v>
      </c>
      <c r="F8" s="8">
        <f>136.26/100*15</f>
        <v>20.438999999999997</v>
      </c>
      <c r="G8" s="8">
        <f>915/100*15</f>
        <v>137.25</v>
      </c>
      <c r="H8" s="8">
        <f>0.93/100*15</f>
        <v>0.13950000000000001</v>
      </c>
      <c r="I8" s="8">
        <f>121.07/100*15</f>
        <v>18.160499999999999</v>
      </c>
      <c r="J8" s="8"/>
      <c r="K8" s="8">
        <f>1.21/100*15</f>
        <v>0.18149999999999999</v>
      </c>
      <c r="L8" s="8">
        <f>246.5/100*15</f>
        <v>36.974999999999994</v>
      </c>
      <c r="M8" s="8">
        <f>577.3/100*15</f>
        <v>86.594999999999999</v>
      </c>
      <c r="N8" s="8">
        <f>185/100*15</f>
        <v>27.75</v>
      </c>
      <c r="O8" s="8">
        <f>6.73/100*15</f>
        <v>1.0095000000000001</v>
      </c>
    </row>
    <row r="9" spans="1:15" s="9" customFormat="1" ht="12.75" x14ac:dyDescent="0.2">
      <c r="A9" s="92">
        <v>234</v>
      </c>
      <c r="B9" s="7" t="s">
        <v>125</v>
      </c>
      <c r="C9" s="92">
        <v>110</v>
      </c>
      <c r="D9" s="15">
        <v>13.98</v>
      </c>
      <c r="E9" s="15">
        <f>3.71*2</f>
        <v>7.42</v>
      </c>
      <c r="F9" s="15">
        <f>9.97*2</f>
        <v>19.940000000000001</v>
      </c>
      <c r="G9" s="15">
        <f>120*2</f>
        <v>240</v>
      </c>
      <c r="H9" s="15">
        <f>0.047*2</f>
        <v>9.4E-2</v>
      </c>
      <c r="I9" s="15">
        <f>0.88*2</f>
        <v>1.76</v>
      </c>
      <c r="J9" s="15">
        <f>15*2</f>
        <v>30</v>
      </c>
      <c r="K9" s="15">
        <f>2.61*2</f>
        <v>5.22</v>
      </c>
      <c r="L9" s="15">
        <f>40.92*2</f>
        <v>81.84</v>
      </c>
      <c r="M9" s="15">
        <f>92.31*2</f>
        <v>184.62</v>
      </c>
      <c r="N9" s="15">
        <f>27.56*2</f>
        <v>55.12</v>
      </c>
      <c r="O9" s="15">
        <f>0.77*2</f>
        <v>1.54</v>
      </c>
    </row>
    <row r="10" spans="1:15" s="13" customFormat="1" x14ac:dyDescent="0.25">
      <c r="A10" s="92">
        <v>382</v>
      </c>
      <c r="B10" s="7" t="s">
        <v>14</v>
      </c>
      <c r="C10" s="92">
        <v>40</v>
      </c>
      <c r="D10" s="15">
        <v>2.2400000000000002</v>
      </c>
      <c r="E10" s="15">
        <v>0.88</v>
      </c>
      <c r="F10" s="15">
        <v>19.760000000000002</v>
      </c>
      <c r="G10" s="15">
        <v>91.96</v>
      </c>
      <c r="H10" s="15">
        <v>0.04</v>
      </c>
      <c r="I10" s="15"/>
      <c r="J10" s="15"/>
      <c r="K10" s="15">
        <v>0.36</v>
      </c>
      <c r="L10" s="15">
        <v>9.1999999999999993</v>
      </c>
      <c r="M10" s="15">
        <v>42.4</v>
      </c>
      <c r="N10" s="15">
        <v>10</v>
      </c>
      <c r="O10" s="15">
        <v>1.24</v>
      </c>
    </row>
    <row r="11" spans="1:15" s="13" customFormat="1" x14ac:dyDescent="0.25">
      <c r="A11" s="6">
        <v>379</v>
      </c>
      <c r="B11" s="10" t="s">
        <v>119</v>
      </c>
      <c r="C11" s="6">
        <v>200</v>
      </c>
      <c r="D11" s="8">
        <v>0.66</v>
      </c>
      <c r="E11" s="8">
        <v>0.09</v>
      </c>
      <c r="F11" s="8">
        <v>32.01</v>
      </c>
      <c r="G11" s="8">
        <v>132.80000000000001</v>
      </c>
      <c r="H11" s="8"/>
      <c r="I11" s="8">
        <v>0.73</v>
      </c>
      <c r="J11" s="8"/>
      <c r="K11" s="8"/>
      <c r="L11" s="8">
        <v>32.479999999999997</v>
      </c>
      <c r="M11" s="8"/>
      <c r="N11" s="8">
        <v>17.46</v>
      </c>
      <c r="O11" s="8">
        <v>0.7</v>
      </c>
    </row>
    <row r="12" spans="1:15" s="13" customFormat="1" x14ac:dyDescent="0.25">
      <c r="A12" s="6"/>
      <c r="B12" s="7" t="s">
        <v>121</v>
      </c>
      <c r="C12" s="6" t="s">
        <v>82</v>
      </c>
      <c r="D12" s="8">
        <v>0.8</v>
      </c>
      <c r="E12" s="8">
        <v>0.35</v>
      </c>
      <c r="F12" s="8">
        <v>16.05</v>
      </c>
      <c r="G12" s="8">
        <v>73</v>
      </c>
      <c r="H12" s="8"/>
      <c r="I12" s="8">
        <v>21.25</v>
      </c>
      <c r="J12" s="8"/>
      <c r="K12" s="8"/>
      <c r="L12" s="8">
        <v>19.5</v>
      </c>
      <c r="M12" s="8"/>
      <c r="N12" s="8">
        <v>19</v>
      </c>
      <c r="O12" s="8"/>
    </row>
    <row r="13" spans="1:15" s="23" customFormat="1" ht="16.149999999999999" customHeight="1" x14ac:dyDescent="0.2">
      <c r="A13" s="79" t="s">
        <v>11</v>
      </c>
      <c r="B13" s="80"/>
      <c r="C13" s="80"/>
      <c r="D13" s="87">
        <v>20.75</v>
      </c>
      <c r="E13" s="87">
        <f>SUM(E8:E12)</f>
        <v>8.7613400000000006</v>
      </c>
      <c r="F13" s="87">
        <f>SUM(F8:F12)</f>
        <v>108.199</v>
      </c>
      <c r="G13" s="87">
        <f>SUM(G8:G12)</f>
        <v>675.01</v>
      </c>
      <c r="H13" s="87"/>
      <c r="I13" s="87"/>
      <c r="J13" s="87"/>
      <c r="K13" s="87"/>
      <c r="L13" s="87"/>
      <c r="M13" s="87"/>
      <c r="N13" s="87"/>
      <c r="O13" s="87"/>
    </row>
    <row r="14" spans="1:15" x14ac:dyDescent="0.25">
      <c r="D14" s="34"/>
    </row>
    <row r="15" spans="1:15" x14ac:dyDescent="0.25">
      <c r="B15" s="30"/>
      <c r="C15" s="187"/>
      <c r="D15" s="187"/>
      <c r="E15" s="187"/>
      <c r="F15" s="187"/>
      <c r="G15" s="62"/>
      <c r="H15" s="62"/>
    </row>
    <row r="16" spans="1:15" x14ac:dyDescent="0.25">
      <c r="B16" s="30"/>
      <c r="C16" s="187"/>
      <c r="D16" s="187"/>
      <c r="E16" s="187"/>
      <c r="F16" s="187"/>
      <c r="G16" s="62"/>
      <c r="H16" s="62"/>
    </row>
    <row r="17" spans="2:8" x14ac:dyDescent="0.25">
      <c r="B17" s="30"/>
      <c r="C17" s="187"/>
      <c r="D17" s="187"/>
      <c r="E17" s="187"/>
      <c r="F17" s="187"/>
      <c r="G17" s="62"/>
      <c r="H17" s="62"/>
    </row>
    <row r="18" spans="2:8" x14ac:dyDescent="0.25">
      <c r="B18" s="30"/>
      <c r="C18" s="187"/>
      <c r="D18" s="187"/>
      <c r="E18" s="187"/>
      <c r="F18" s="187"/>
      <c r="G18" s="62"/>
      <c r="H18" s="62"/>
    </row>
    <row r="19" spans="2:8" x14ac:dyDescent="0.25">
      <c r="B19" s="30"/>
      <c r="C19" s="187"/>
      <c r="D19" s="187"/>
      <c r="E19" s="187"/>
      <c r="F19" s="187"/>
      <c r="G19" s="62"/>
      <c r="H19" s="62"/>
    </row>
    <row r="20" spans="2:8" x14ac:dyDescent="0.25">
      <c r="B20" s="16"/>
      <c r="C20" s="16"/>
      <c r="D20" s="16"/>
      <c r="E20" s="16"/>
      <c r="F20" s="16"/>
      <c r="G20" s="16"/>
      <c r="H20" s="16"/>
    </row>
  </sheetData>
  <sheetProtection formatCells="0" formatColumns="0" formatRows="0" insertColumns="0" insertRows="0" insertHyperlinks="0" deleteColumns="0" deleteRows="0" sort="0" autoFilter="0" pivotTables="0"/>
  <mergeCells count="17">
    <mergeCell ref="A5:A6"/>
    <mergeCell ref="B5:B6"/>
    <mergeCell ref="C5:C6"/>
    <mergeCell ref="D5:F5"/>
    <mergeCell ref="G5:G6"/>
    <mergeCell ref="C18:D18"/>
    <mergeCell ref="E18:F18"/>
    <mergeCell ref="C19:D19"/>
    <mergeCell ref="E19:F19"/>
    <mergeCell ref="L5:O5"/>
    <mergeCell ref="C15:D15"/>
    <mergeCell ref="E15:F15"/>
    <mergeCell ref="C16:D16"/>
    <mergeCell ref="E16:F16"/>
    <mergeCell ref="C17:D17"/>
    <mergeCell ref="E17:F17"/>
    <mergeCell ref="H5:K5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38"/>
  <sheetViews>
    <sheetView view="pageBreakPreview" topLeftCell="A19" zoomScaleNormal="100" zoomScaleSheetLayoutView="100" workbookViewId="0">
      <selection activeCell="H41" sqref="H41"/>
    </sheetView>
  </sheetViews>
  <sheetFormatPr defaultRowHeight="15" x14ac:dyDescent="0.25"/>
  <cols>
    <col min="1" max="1" width="23.5703125" style="50" customWidth="1"/>
    <col min="2" max="5" width="9.140625" style="50"/>
    <col min="6" max="6" width="10.42578125" style="50" customWidth="1"/>
    <col min="7" max="7" width="11.85546875" style="50" customWidth="1"/>
    <col min="8" max="16384" width="9.140625" style="50"/>
  </cols>
  <sheetData>
    <row r="1" spans="1:35" ht="48" customHeight="1" x14ac:dyDescent="0.25">
      <c r="A1" s="188" t="s">
        <v>89</v>
      </c>
      <c r="B1" s="188"/>
      <c r="C1" s="188"/>
      <c r="D1" s="188"/>
      <c r="E1" s="188"/>
      <c r="F1" s="188"/>
      <c r="G1" s="188"/>
    </row>
    <row r="2" spans="1:35" ht="30.75" customHeight="1" x14ac:dyDescent="0.25">
      <c r="A2" s="51" t="s">
        <v>51</v>
      </c>
      <c r="B2" s="189" t="s">
        <v>52</v>
      </c>
      <c r="C2" s="189"/>
      <c r="D2" s="189"/>
      <c r="E2" s="189"/>
      <c r="F2" s="190" t="s">
        <v>94</v>
      </c>
      <c r="G2" s="191"/>
    </row>
    <row r="3" spans="1:35" ht="25.5" x14ac:dyDescent="0.25">
      <c r="A3" s="192"/>
      <c r="B3" s="194" t="s">
        <v>53</v>
      </c>
      <c r="C3" s="195"/>
      <c r="D3" s="194" t="s">
        <v>54</v>
      </c>
      <c r="E3" s="195"/>
      <c r="F3" s="51" t="s">
        <v>53</v>
      </c>
      <c r="G3" s="51" t="s">
        <v>54</v>
      </c>
    </row>
    <row r="4" spans="1:35" x14ac:dyDescent="0.25">
      <c r="A4" s="193"/>
      <c r="B4" s="194" t="s">
        <v>36</v>
      </c>
      <c r="C4" s="195"/>
      <c r="D4" s="194" t="s">
        <v>36</v>
      </c>
      <c r="E4" s="195"/>
      <c r="F4" s="51" t="s">
        <v>36</v>
      </c>
      <c r="G4" s="51" t="s">
        <v>36</v>
      </c>
    </row>
    <row r="5" spans="1:35" ht="25.5" x14ac:dyDescent="0.25">
      <c r="A5" s="52" t="s">
        <v>55</v>
      </c>
      <c r="B5" s="196">
        <v>80</v>
      </c>
      <c r="C5" s="197"/>
      <c r="D5" s="196">
        <v>80</v>
      </c>
      <c r="E5" s="197"/>
      <c r="F5" s="53">
        <v>40</v>
      </c>
      <c r="G5" s="53">
        <v>40</v>
      </c>
    </row>
    <row r="6" spans="1:35" x14ac:dyDescent="0.25">
      <c r="A6" s="52" t="s">
        <v>56</v>
      </c>
      <c r="B6" s="196">
        <v>150</v>
      </c>
      <c r="C6" s="197"/>
      <c r="D6" s="196">
        <v>150</v>
      </c>
      <c r="E6" s="197"/>
      <c r="F6" s="53">
        <f>(70+100+103+78+90+90+70+90+118)/10</f>
        <v>80.900000000000006</v>
      </c>
      <c r="G6" s="53">
        <f>(70+100+103+78+90+90+70+90+118)/10</f>
        <v>80.900000000000006</v>
      </c>
    </row>
    <row r="7" spans="1:35" x14ac:dyDescent="0.25">
      <c r="A7" s="52" t="s">
        <v>57</v>
      </c>
      <c r="B7" s="196">
        <v>15</v>
      </c>
      <c r="C7" s="197"/>
      <c r="D7" s="196">
        <v>15</v>
      </c>
      <c r="E7" s="197"/>
      <c r="F7" s="53">
        <f>(2+89.5+15.6+44.79+9.55+35.71+20.5+18.25+9.6)/10</f>
        <v>24.55</v>
      </c>
      <c r="G7" s="53">
        <v>24.55</v>
      </c>
    </row>
    <row r="8" spans="1:35" s="57" customFormat="1" x14ac:dyDescent="0.25">
      <c r="A8" s="54" t="s">
        <v>58</v>
      </c>
      <c r="B8" s="198">
        <v>45</v>
      </c>
      <c r="C8" s="199"/>
      <c r="D8" s="198">
        <v>45</v>
      </c>
      <c r="E8" s="199"/>
      <c r="F8" s="55">
        <f>(31+33+75+44+54+52+75+49)/10</f>
        <v>41.3</v>
      </c>
      <c r="G8" s="55">
        <v>41.3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1:35" x14ac:dyDescent="0.25">
      <c r="A9" s="52" t="s">
        <v>59</v>
      </c>
      <c r="B9" s="196">
        <v>15</v>
      </c>
      <c r="C9" s="197"/>
      <c r="D9" s="196">
        <v>15</v>
      </c>
      <c r="E9" s="197"/>
      <c r="F9" s="53">
        <f>(52.5+10+10+52.5+10)/10</f>
        <v>13.5</v>
      </c>
      <c r="G9" s="53">
        <v>13.5</v>
      </c>
    </row>
    <row r="10" spans="1:35" x14ac:dyDescent="0.25">
      <c r="A10" s="52" t="s">
        <v>60</v>
      </c>
      <c r="B10" s="196" t="s">
        <v>61</v>
      </c>
      <c r="C10" s="197"/>
      <c r="D10" s="200">
        <v>188</v>
      </c>
      <c r="E10" s="201"/>
      <c r="F10" s="53">
        <f>(253.3+33.25+27+40+82.3+238+40+53.4+226.9+100)/10</f>
        <v>109.41500000000001</v>
      </c>
      <c r="G10" s="53">
        <f>(75+170+40+30+179+82.3+30+20+25+190)/10</f>
        <v>84.13</v>
      </c>
    </row>
    <row r="11" spans="1:35" x14ac:dyDescent="0.25">
      <c r="A11" s="52" t="s">
        <v>62</v>
      </c>
      <c r="B11" s="196">
        <v>350</v>
      </c>
      <c r="C11" s="197"/>
      <c r="D11" s="196" t="s">
        <v>63</v>
      </c>
      <c r="E11" s="197"/>
      <c r="F11" s="53">
        <f>(120.3+303.6+221.35+227.85+124.3+138.85+207.85+272.2+249.95+121.05)/10</f>
        <v>198.73</v>
      </c>
      <c r="G11" s="74">
        <f>(69.75+200+218.5+162+111.4+119+121.5+178.9+243.5+88.5)/10</f>
        <v>151.30500000000001</v>
      </c>
    </row>
    <row r="12" spans="1:35" x14ac:dyDescent="0.25">
      <c r="A12" s="52" t="s">
        <v>64</v>
      </c>
      <c r="B12" s="196">
        <v>200</v>
      </c>
      <c r="C12" s="197"/>
      <c r="D12" s="196" t="s">
        <v>65</v>
      </c>
      <c r="E12" s="197"/>
      <c r="F12" s="53">
        <f>(100+135.7+100+135+145.4+134+135.7+135+129+135.7)/10</f>
        <v>128.55000000000001</v>
      </c>
      <c r="G12" s="53">
        <f>(125+129+128+135.7+130+145.4+128.2+100+125+100)/10</f>
        <v>124.63</v>
      </c>
    </row>
    <row r="13" spans="1:35" ht="25.5" x14ac:dyDescent="0.25">
      <c r="A13" s="52" t="s">
        <v>66</v>
      </c>
      <c r="B13" s="196">
        <v>15</v>
      </c>
      <c r="C13" s="197"/>
      <c r="D13" s="196">
        <v>15</v>
      </c>
      <c r="E13" s="197"/>
      <c r="F13" s="53">
        <f>(20.1+5.1+25.6+25.6)/10</f>
        <v>7.6400000000000006</v>
      </c>
      <c r="G13" s="53">
        <f>(37+10+10+37+5+20.1)/10</f>
        <v>11.91</v>
      </c>
    </row>
    <row r="14" spans="1:35" ht="51" x14ac:dyDescent="0.25">
      <c r="A14" s="52" t="s">
        <v>67</v>
      </c>
      <c r="B14" s="196">
        <v>200</v>
      </c>
      <c r="C14" s="197"/>
      <c r="D14" s="196">
        <v>200</v>
      </c>
      <c r="E14" s="197"/>
      <c r="F14" s="53">
        <f>(200+200+200+200+200)/10</f>
        <v>100</v>
      </c>
      <c r="G14" s="53">
        <v>100</v>
      </c>
    </row>
    <row r="15" spans="1:35" ht="25.5" x14ac:dyDescent="0.25">
      <c r="A15" s="52" t="s">
        <v>68</v>
      </c>
      <c r="B15" s="196" t="s">
        <v>69</v>
      </c>
      <c r="C15" s="197"/>
      <c r="D15" s="196">
        <v>70</v>
      </c>
      <c r="E15" s="197"/>
      <c r="F15" s="53">
        <f>(92+40+121+150+121+40+150)/10</f>
        <v>71.400000000000006</v>
      </c>
      <c r="G15" s="53">
        <f>(106+25+96+106+96+25+63)/10</f>
        <v>51.7</v>
      </c>
    </row>
    <row r="16" spans="1:35" ht="38.25" x14ac:dyDescent="0.25">
      <c r="A16" s="52" t="s">
        <v>70</v>
      </c>
      <c r="B16" s="196" t="s">
        <v>71</v>
      </c>
      <c r="C16" s="197"/>
      <c r="D16" s="196">
        <v>35</v>
      </c>
      <c r="E16" s="197"/>
      <c r="F16" s="53">
        <f>(182+40+125)/10</f>
        <v>34.700000000000003</v>
      </c>
      <c r="G16" s="53">
        <f>(60+25+153)/10</f>
        <v>23.8</v>
      </c>
    </row>
    <row r="17" spans="1:7" x14ac:dyDescent="0.25">
      <c r="A17" s="52" t="s">
        <v>72</v>
      </c>
      <c r="B17" s="196">
        <v>60</v>
      </c>
      <c r="C17" s="197"/>
      <c r="D17" s="196">
        <v>58</v>
      </c>
      <c r="E17" s="197"/>
      <c r="F17" s="53">
        <f>(90+246+123)/10</f>
        <v>45.9</v>
      </c>
      <c r="G17" s="53">
        <f>(61+124+66)/10</f>
        <v>25.1</v>
      </c>
    </row>
    <row r="18" spans="1:7" x14ac:dyDescent="0.25">
      <c r="A18" s="52" t="s">
        <v>73</v>
      </c>
      <c r="B18" s="196">
        <v>15</v>
      </c>
      <c r="C18" s="197"/>
      <c r="D18" s="196">
        <v>14.7</v>
      </c>
      <c r="E18" s="197"/>
      <c r="F18" s="53">
        <v>0</v>
      </c>
      <c r="G18" s="53">
        <v>0</v>
      </c>
    </row>
    <row r="19" spans="1:7" ht="25.5" x14ac:dyDescent="0.25">
      <c r="A19" s="52" t="s">
        <v>74</v>
      </c>
      <c r="B19" s="196">
        <v>300</v>
      </c>
      <c r="C19" s="197"/>
      <c r="D19" s="196">
        <v>300</v>
      </c>
      <c r="E19" s="197"/>
      <c r="F19" s="53">
        <f>(435+176+411+100+411+150+125.92+162+102+411)/10</f>
        <v>248.392</v>
      </c>
      <c r="G19" s="53">
        <f>(400+100.5+162+125.92+150+400+100+400+176+446.5)/10</f>
        <v>246.09200000000001</v>
      </c>
    </row>
    <row r="20" spans="1:7" ht="38.25" x14ac:dyDescent="0.25">
      <c r="A20" s="52" t="s">
        <v>75</v>
      </c>
      <c r="B20" s="196">
        <v>150</v>
      </c>
      <c r="C20" s="197"/>
      <c r="D20" s="196">
        <v>150</v>
      </c>
      <c r="E20" s="197"/>
      <c r="F20" s="53">
        <f>(206+237+206+207+206+207)/10</f>
        <v>126.9</v>
      </c>
      <c r="G20" s="53">
        <f>(200+200+200+200+230+200)/10</f>
        <v>123</v>
      </c>
    </row>
    <row r="21" spans="1:7" ht="25.5" x14ac:dyDescent="0.25">
      <c r="A21" s="52" t="s">
        <v>76</v>
      </c>
      <c r="B21" s="196">
        <v>50</v>
      </c>
      <c r="C21" s="197"/>
      <c r="D21" s="196">
        <v>50</v>
      </c>
      <c r="E21" s="197"/>
      <c r="F21" s="53">
        <f>(83.7+113.7)/10</f>
        <v>19.740000000000002</v>
      </c>
      <c r="G21" s="53">
        <f>(112+82)/10</f>
        <v>19.399999999999999</v>
      </c>
    </row>
    <row r="22" spans="1:7" x14ac:dyDescent="0.25">
      <c r="A22" s="52" t="s">
        <v>77</v>
      </c>
      <c r="B22" s="196">
        <v>10</v>
      </c>
      <c r="C22" s="197"/>
      <c r="D22" s="196">
        <v>9.8000000000000007</v>
      </c>
      <c r="E22" s="197"/>
      <c r="F22" s="53">
        <f>(16+16+16)/10</f>
        <v>4.8</v>
      </c>
      <c r="G22" s="74">
        <f>(15+15+15)/10</f>
        <v>4.5</v>
      </c>
    </row>
    <row r="23" spans="1:7" ht="25.5" x14ac:dyDescent="0.25">
      <c r="A23" s="52" t="s">
        <v>78</v>
      </c>
      <c r="B23" s="196">
        <v>10</v>
      </c>
      <c r="C23" s="197"/>
      <c r="D23" s="196">
        <v>10</v>
      </c>
      <c r="E23" s="197"/>
      <c r="F23" s="58">
        <f>(12.5+12.5+12.5+22)/10</f>
        <v>5.95</v>
      </c>
      <c r="G23" s="58">
        <v>5.95</v>
      </c>
    </row>
    <row r="24" spans="1:7" x14ac:dyDescent="0.25">
      <c r="A24" s="52" t="s">
        <v>79</v>
      </c>
      <c r="B24" s="196">
        <v>30</v>
      </c>
      <c r="C24" s="197"/>
      <c r="D24" s="196">
        <v>30</v>
      </c>
      <c r="E24" s="197"/>
      <c r="F24" s="53">
        <f>(25.75+20+28.9+30+20.3+40.75+39.12+31.6+15.25+19.5)/10</f>
        <v>27.116999999999997</v>
      </c>
      <c r="G24" s="53">
        <v>27.12</v>
      </c>
    </row>
    <row r="25" spans="1:7" x14ac:dyDescent="0.25">
      <c r="A25" s="52" t="s">
        <v>80</v>
      </c>
      <c r="B25" s="196">
        <v>15</v>
      </c>
      <c r="C25" s="197"/>
      <c r="D25" s="196">
        <v>15</v>
      </c>
      <c r="E25" s="197"/>
      <c r="F25" s="53">
        <f>(10+24+14.15+5+12.32+15.7+15+17+27+10)/10</f>
        <v>15.017000000000001</v>
      </c>
      <c r="G25" s="53">
        <v>15.02</v>
      </c>
    </row>
    <row r="26" spans="1:7" x14ac:dyDescent="0.25">
      <c r="A26" s="52" t="s">
        <v>81</v>
      </c>
      <c r="B26" s="196" t="s">
        <v>82</v>
      </c>
      <c r="C26" s="197"/>
      <c r="D26" s="196">
        <v>40</v>
      </c>
      <c r="E26" s="197"/>
      <c r="F26" s="53">
        <f>(2.1+3+40+1.6+80.1+40+81.4+9.9+2.1)/10</f>
        <v>26.020000000000003</v>
      </c>
      <c r="G26" s="53">
        <f>26.02</f>
        <v>26.02</v>
      </c>
    </row>
    <row r="27" spans="1:7" x14ac:dyDescent="0.25">
      <c r="A27" s="52" t="s">
        <v>83</v>
      </c>
      <c r="B27" s="196">
        <v>40</v>
      </c>
      <c r="C27" s="197"/>
      <c r="D27" s="200">
        <v>40</v>
      </c>
      <c r="E27" s="201"/>
      <c r="F27" s="53">
        <f>(26+10.75+32.15+32.7+36.6+24.35+54.3+39.5+30+46.36+6)/10</f>
        <v>33.871000000000002</v>
      </c>
      <c r="G27" s="53">
        <v>33.869999999999997</v>
      </c>
    </row>
    <row r="28" spans="1:7" x14ac:dyDescent="0.25">
      <c r="A28" s="52" t="s">
        <v>84</v>
      </c>
      <c r="B28" s="200">
        <v>10</v>
      </c>
      <c r="C28" s="201"/>
      <c r="D28" s="196">
        <v>10</v>
      </c>
      <c r="E28" s="197"/>
      <c r="F28" s="53">
        <f>(20+20+20+15)/10</f>
        <v>7.5</v>
      </c>
      <c r="G28" s="53">
        <v>7.5</v>
      </c>
    </row>
    <row r="29" spans="1:7" x14ac:dyDescent="0.25">
      <c r="A29" s="52" t="s">
        <v>85</v>
      </c>
      <c r="B29" s="196">
        <v>0.4</v>
      </c>
      <c r="C29" s="197"/>
      <c r="D29" s="196">
        <v>0.4</v>
      </c>
      <c r="E29" s="197"/>
      <c r="F29" s="53">
        <f>(0.5+0.5+0.5+0.5)/10</f>
        <v>0.2</v>
      </c>
      <c r="G29" s="53">
        <v>0.2</v>
      </c>
    </row>
    <row r="30" spans="1:7" x14ac:dyDescent="0.25">
      <c r="A30" s="52" t="s">
        <v>86</v>
      </c>
      <c r="B30" s="196">
        <v>1.2</v>
      </c>
      <c r="C30" s="197"/>
      <c r="D30" s="196">
        <v>1.2</v>
      </c>
      <c r="E30" s="197"/>
      <c r="F30" s="53">
        <f>(4+4)/10</f>
        <v>0.8</v>
      </c>
      <c r="G30" s="53">
        <v>0.8</v>
      </c>
    </row>
    <row r="31" spans="1:7" x14ac:dyDescent="0.25">
      <c r="A31" s="52" t="s">
        <v>87</v>
      </c>
      <c r="B31" s="196">
        <v>1</v>
      </c>
      <c r="C31" s="197"/>
      <c r="D31" s="196">
        <v>1</v>
      </c>
      <c r="E31" s="197"/>
      <c r="F31" s="53">
        <f>(0.1+0.56+0.5+0.1+0.1+2.25)/10</f>
        <v>0.36100000000000004</v>
      </c>
      <c r="G31" s="53">
        <v>0.36</v>
      </c>
    </row>
    <row r="32" spans="1:7" x14ac:dyDescent="0.25">
      <c r="A32" s="52" t="s">
        <v>88</v>
      </c>
      <c r="B32" s="196">
        <v>5</v>
      </c>
      <c r="C32" s="197"/>
      <c r="D32" s="196">
        <v>5</v>
      </c>
      <c r="E32" s="197"/>
      <c r="F32" s="53">
        <f>(3.3+3.1+3+3.03+3.2+3.8+3.56+3+3+5)/10</f>
        <v>3.3989999999999996</v>
      </c>
      <c r="G32" s="53">
        <v>3.4</v>
      </c>
    </row>
    <row r="33" spans="1:11" ht="15.75" thickBot="1" x14ac:dyDescent="0.3"/>
    <row r="34" spans="1:11" ht="39" thickBot="1" x14ac:dyDescent="0.3">
      <c r="A34" s="204" t="s">
        <v>44</v>
      </c>
      <c r="B34" s="205"/>
      <c r="C34" s="205"/>
      <c r="D34" s="205"/>
      <c r="E34" s="208" t="s">
        <v>45</v>
      </c>
      <c r="F34" s="209"/>
      <c r="G34" s="210"/>
      <c r="H34" s="24" t="s">
        <v>46</v>
      </c>
      <c r="K34" s="108"/>
    </row>
    <row r="35" spans="1:11" ht="15.75" thickBot="1" x14ac:dyDescent="0.3">
      <c r="A35" s="206"/>
      <c r="B35" s="207"/>
      <c r="C35" s="207"/>
      <c r="D35" s="207"/>
      <c r="E35" s="25" t="s">
        <v>1</v>
      </c>
      <c r="F35" s="25" t="s">
        <v>2</v>
      </c>
      <c r="G35" s="25" t="s">
        <v>3</v>
      </c>
      <c r="H35" s="26"/>
    </row>
    <row r="36" spans="1:11" ht="15.75" customHeight="1" thickBot="1" x14ac:dyDescent="0.3">
      <c r="A36" s="202" t="s">
        <v>112</v>
      </c>
      <c r="B36" s="203"/>
      <c r="C36" s="203"/>
      <c r="D36" s="203"/>
      <c r="E36" s="109" t="s">
        <v>123</v>
      </c>
      <c r="F36" s="109" t="s">
        <v>123</v>
      </c>
      <c r="G36" s="25" t="s">
        <v>114</v>
      </c>
      <c r="H36" s="25" t="s">
        <v>113</v>
      </c>
    </row>
    <row r="37" spans="1:11" ht="15.75" customHeight="1" thickBot="1" x14ac:dyDescent="0.3">
      <c r="A37" s="202" t="s">
        <v>47</v>
      </c>
      <c r="B37" s="203"/>
      <c r="C37" s="203"/>
      <c r="D37" s="203"/>
      <c r="E37" s="27">
        <v>21.49</v>
      </c>
      <c r="F37" s="27">
        <v>21.2</v>
      </c>
      <c r="G37" s="27">
        <v>86.64</v>
      </c>
      <c r="H37" s="27">
        <v>614</v>
      </c>
    </row>
    <row r="38" spans="1:11" x14ac:dyDescent="0.25">
      <c r="A38"/>
      <c r="B38"/>
      <c r="C38"/>
      <c r="D38"/>
      <c r="E38"/>
      <c r="F38"/>
      <c r="G38"/>
      <c r="H38"/>
    </row>
  </sheetData>
  <mergeCells count="68"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D31:E31"/>
    <mergeCell ref="D32:E32"/>
    <mergeCell ref="B32:C32"/>
    <mergeCell ref="B31:C31"/>
    <mergeCell ref="B30:C30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G1"/>
    <mergeCell ref="B2:E2"/>
    <mergeCell ref="F2:G2"/>
    <mergeCell ref="A3:A4"/>
    <mergeCell ref="B3:C3"/>
    <mergeCell ref="D3:E3"/>
    <mergeCell ref="B4:C4"/>
    <mergeCell ref="D4:E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33"/>
  <sheetViews>
    <sheetView view="pageBreakPreview" zoomScaleNormal="100" zoomScaleSheetLayoutView="100" workbookViewId="0">
      <selection activeCell="B14" sqref="B14"/>
    </sheetView>
  </sheetViews>
  <sheetFormatPr defaultRowHeight="12.75" x14ac:dyDescent="0.2"/>
  <cols>
    <col min="1" max="1" width="14.7109375" style="20" customWidth="1"/>
    <col min="2" max="2" width="32" style="20" bestFit="1" customWidth="1"/>
    <col min="3" max="3" width="9.28515625" style="20" bestFit="1" customWidth="1"/>
    <col min="4" max="4" width="11.28515625" style="20" bestFit="1" customWidth="1"/>
    <col min="5" max="6" width="9.28515625" style="20" bestFit="1" customWidth="1"/>
    <col min="7" max="7" width="12.7109375" style="20" customWidth="1"/>
    <col min="8" max="8" width="10.85546875" style="20" customWidth="1"/>
    <col min="9" max="9" width="10.7109375" style="20" customWidth="1"/>
    <col min="10" max="10" width="9.28515625" style="20" bestFit="1" customWidth="1"/>
    <col min="11" max="11" width="11.28515625" style="20" customWidth="1"/>
    <col min="12" max="12" width="12.28515625" style="20" customWidth="1"/>
    <col min="13" max="13" width="10.42578125" style="20" bestFit="1" customWidth="1"/>
    <col min="14" max="15" width="9.28515625" style="20" bestFit="1" customWidth="1"/>
    <col min="16" max="16384" width="9.140625" style="20"/>
  </cols>
  <sheetData>
    <row r="1" spans="1:15" x14ac:dyDescent="0.2">
      <c r="A1" s="18" t="s">
        <v>29</v>
      </c>
      <c r="B1" s="103" t="s">
        <v>111</v>
      </c>
    </row>
    <row r="2" spans="1:15" x14ac:dyDescent="0.2">
      <c r="A2" s="18" t="s">
        <v>31</v>
      </c>
      <c r="B2" s="19" t="s">
        <v>32</v>
      </c>
    </row>
    <row r="3" spans="1:15" x14ac:dyDescent="0.2">
      <c r="A3" s="18" t="s">
        <v>33</v>
      </c>
      <c r="B3" s="19" t="s">
        <v>34</v>
      </c>
    </row>
    <row r="4" spans="1:15" ht="25.5" x14ac:dyDescent="0.2">
      <c r="A4" s="18" t="s">
        <v>35</v>
      </c>
      <c r="B4" s="19" t="s">
        <v>36</v>
      </c>
    </row>
    <row r="5" spans="1:15" ht="15.75" customHeight="1" x14ac:dyDescent="0.2">
      <c r="A5" s="136" t="s">
        <v>23</v>
      </c>
      <c r="B5" s="136" t="s">
        <v>18</v>
      </c>
      <c r="C5" s="136" t="s">
        <v>19</v>
      </c>
      <c r="D5" s="133" t="s">
        <v>26</v>
      </c>
      <c r="E5" s="134"/>
      <c r="F5" s="135"/>
      <c r="G5" s="136" t="s">
        <v>0</v>
      </c>
      <c r="H5" s="133" t="s">
        <v>25</v>
      </c>
      <c r="I5" s="134"/>
      <c r="J5" s="134"/>
      <c r="K5" s="135"/>
      <c r="L5" s="133" t="s">
        <v>24</v>
      </c>
      <c r="M5" s="134"/>
      <c r="N5" s="134"/>
      <c r="O5" s="135"/>
    </row>
    <row r="6" spans="1:15" ht="24" customHeight="1" x14ac:dyDescent="0.2">
      <c r="A6" s="137"/>
      <c r="B6" s="141"/>
      <c r="C6" s="140"/>
      <c r="D6" s="21" t="s">
        <v>1</v>
      </c>
      <c r="E6" s="21" t="s">
        <v>2</v>
      </c>
      <c r="F6" s="21" t="s">
        <v>3</v>
      </c>
      <c r="G6" s="137"/>
      <c r="H6" s="21" t="s">
        <v>42</v>
      </c>
      <c r="I6" s="21" t="s">
        <v>4</v>
      </c>
      <c r="J6" s="21" t="s">
        <v>5</v>
      </c>
      <c r="K6" s="21" t="s">
        <v>6</v>
      </c>
      <c r="L6" s="21" t="s">
        <v>7</v>
      </c>
      <c r="M6" s="21" t="s">
        <v>8</v>
      </c>
      <c r="N6" s="21" t="s">
        <v>9</v>
      </c>
      <c r="O6" s="21" t="s">
        <v>10</v>
      </c>
    </row>
    <row r="7" spans="1:15" x14ac:dyDescent="0.2">
      <c r="A7" s="138" t="s">
        <v>28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</row>
    <row r="8" spans="1:15" s="22" customFormat="1" ht="38.25" x14ac:dyDescent="0.2">
      <c r="A8" s="14">
        <v>173</v>
      </c>
      <c r="B8" s="7" t="s">
        <v>101</v>
      </c>
      <c r="C8" s="14" t="s">
        <v>92</v>
      </c>
      <c r="D8" s="15">
        <v>9.0399999999999991</v>
      </c>
      <c r="E8" s="15">
        <v>13.44</v>
      </c>
      <c r="F8" s="15">
        <v>40.159999999999997</v>
      </c>
      <c r="G8" s="15">
        <v>318</v>
      </c>
      <c r="H8" s="15">
        <v>0.21</v>
      </c>
      <c r="I8" s="15">
        <v>0.96</v>
      </c>
      <c r="J8" s="15">
        <v>54.8</v>
      </c>
      <c r="K8" s="15">
        <v>0.73</v>
      </c>
      <c r="L8" s="15">
        <v>158.65</v>
      </c>
      <c r="M8" s="15">
        <v>264.86</v>
      </c>
      <c r="N8" s="15">
        <v>72.05</v>
      </c>
      <c r="O8" s="15">
        <v>2.09</v>
      </c>
    </row>
    <row r="9" spans="1:15" s="13" customFormat="1" ht="25.5" x14ac:dyDescent="0.25">
      <c r="A9" s="121">
        <v>3</v>
      </c>
      <c r="B9" s="7" t="s">
        <v>50</v>
      </c>
      <c r="C9" s="14">
        <v>50</v>
      </c>
      <c r="D9" s="15">
        <v>5.8</v>
      </c>
      <c r="E9" s="15">
        <v>8.3000000000000007</v>
      </c>
      <c r="F9" s="15">
        <v>14.83</v>
      </c>
      <c r="G9" s="15">
        <v>157</v>
      </c>
      <c r="H9" s="15">
        <v>0.04</v>
      </c>
      <c r="I9" s="15">
        <v>0.11</v>
      </c>
      <c r="J9" s="15">
        <v>59</v>
      </c>
      <c r="K9" s="15">
        <v>0.47</v>
      </c>
      <c r="L9" s="15">
        <v>139.19999999999999</v>
      </c>
      <c r="M9" s="15">
        <v>96</v>
      </c>
      <c r="N9" s="15">
        <v>9.4499999999999993</v>
      </c>
      <c r="O9" s="15">
        <v>0.49</v>
      </c>
    </row>
    <row r="10" spans="1:15" s="13" customFormat="1" ht="15" x14ac:dyDescent="0.25">
      <c r="A10" s="122"/>
      <c r="B10" s="33" t="s">
        <v>56</v>
      </c>
      <c r="C10" s="40">
        <v>30</v>
      </c>
      <c r="D10" s="124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6"/>
    </row>
    <row r="11" spans="1:15" s="13" customFormat="1" ht="15" x14ac:dyDescent="0.25">
      <c r="A11" s="122"/>
      <c r="B11" s="33" t="s">
        <v>79</v>
      </c>
      <c r="C11" s="40">
        <v>5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9"/>
    </row>
    <row r="12" spans="1:15" s="13" customFormat="1" ht="15" x14ac:dyDescent="0.25">
      <c r="A12" s="123"/>
      <c r="B12" s="33" t="s">
        <v>93</v>
      </c>
      <c r="C12" s="40">
        <v>15</v>
      </c>
      <c r="D12" s="130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2"/>
    </row>
    <row r="13" spans="1:15" s="13" customFormat="1" ht="15" x14ac:dyDescent="0.25">
      <c r="A13" s="91">
        <v>375</v>
      </c>
      <c r="B13" s="7" t="s">
        <v>103</v>
      </c>
      <c r="C13" s="92">
        <v>200</v>
      </c>
      <c r="D13" s="15">
        <f>2/5</f>
        <v>0.4</v>
      </c>
      <c r="E13" s="15">
        <f>0.51/5</f>
        <v>0.10200000000000001</v>
      </c>
      <c r="F13" s="15">
        <f>0.4/5</f>
        <v>0.08</v>
      </c>
      <c r="G13" s="15">
        <f>32/5</f>
        <v>6.4</v>
      </c>
      <c r="H13" s="15">
        <f>0.01/5</f>
        <v>2E-3</v>
      </c>
      <c r="I13" s="15">
        <f>1/5</f>
        <v>0.2</v>
      </c>
      <c r="J13" s="15">
        <f>0</f>
        <v>0</v>
      </c>
      <c r="K13" s="15">
        <f>0</f>
        <v>0</v>
      </c>
      <c r="L13" s="15">
        <f>98.1/5</f>
        <v>19.619999999999997</v>
      </c>
      <c r="M13" s="15">
        <f>82.4/5</f>
        <v>16.48</v>
      </c>
      <c r="N13" s="15">
        <f>44/5</f>
        <v>8.8000000000000007</v>
      </c>
      <c r="O13" s="15">
        <f>8.2/5</f>
        <v>1.64</v>
      </c>
    </row>
    <row r="14" spans="1:15" s="13" customFormat="1" ht="15" x14ac:dyDescent="0.25">
      <c r="A14" s="91"/>
      <c r="B14" s="7" t="s">
        <v>121</v>
      </c>
      <c r="C14" s="6" t="s">
        <v>82</v>
      </c>
      <c r="D14" s="8">
        <v>0.8</v>
      </c>
      <c r="E14" s="8">
        <v>0.35</v>
      </c>
      <c r="F14" s="8">
        <v>16.05</v>
      </c>
      <c r="G14" s="8">
        <v>73</v>
      </c>
      <c r="H14" s="8"/>
      <c r="I14" s="8">
        <v>21.25</v>
      </c>
      <c r="J14" s="8"/>
      <c r="K14" s="8"/>
      <c r="L14" s="8">
        <v>19.5</v>
      </c>
      <c r="M14" s="8"/>
      <c r="N14" s="8">
        <v>19</v>
      </c>
      <c r="O14" s="8"/>
    </row>
    <row r="15" spans="1:15" s="22" customFormat="1" x14ac:dyDescent="0.2">
      <c r="A15" s="79" t="s">
        <v>11</v>
      </c>
      <c r="B15" s="80"/>
      <c r="C15" s="80"/>
      <c r="D15" s="81">
        <v>16.04</v>
      </c>
      <c r="E15" s="81">
        <v>22.19</v>
      </c>
      <c r="F15" s="81">
        <v>71.12</v>
      </c>
      <c r="G15" s="81">
        <v>554.4</v>
      </c>
      <c r="H15" s="82"/>
      <c r="I15" s="82"/>
      <c r="J15" s="82"/>
      <c r="K15" s="82"/>
      <c r="L15" s="82"/>
      <c r="M15" s="82"/>
      <c r="N15" s="82"/>
      <c r="O15" s="82"/>
    </row>
    <row r="24" spans="2:6" ht="15" x14ac:dyDescent="0.25">
      <c r="B24"/>
      <c r="C24"/>
      <c r="D24"/>
      <c r="E24"/>
      <c r="F24"/>
    </row>
    <row r="25" spans="2:6" ht="15" x14ac:dyDescent="0.25">
      <c r="B25" s="29"/>
      <c r="C25"/>
      <c r="D25"/>
      <c r="E25"/>
      <c r="F25"/>
    </row>
    <row r="26" spans="2:6" ht="15" x14ac:dyDescent="0.25">
      <c r="B26"/>
      <c r="C26"/>
      <c r="D26"/>
      <c r="E26"/>
      <c r="F26"/>
    </row>
    <row r="27" spans="2:6" ht="15" x14ac:dyDescent="0.25">
      <c r="B27" s="29"/>
      <c r="C27"/>
      <c r="D27"/>
      <c r="E27"/>
      <c r="F27"/>
    </row>
    <row r="28" spans="2:6" ht="15" x14ac:dyDescent="0.25">
      <c r="B28"/>
      <c r="C28"/>
      <c r="D28"/>
      <c r="E28"/>
      <c r="F28"/>
    </row>
    <row r="29" spans="2:6" ht="15" x14ac:dyDescent="0.25">
      <c r="B29" s="29"/>
      <c r="C29"/>
      <c r="D29"/>
      <c r="E29"/>
      <c r="F29"/>
    </row>
    <row r="30" spans="2:6" ht="15" x14ac:dyDescent="0.25">
      <c r="B30"/>
      <c r="C30"/>
      <c r="D30"/>
      <c r="E30"/>
      <c r="F30"/>
    </row>
    <row r="31" spans="2:6" ht="15" x14ac:dyDescent="0.25">
      <c r="B31" s="29"/>
      <c r="C31"/>
      <c r="D31"/>
      <c r="E31"/>
      <c r="F31"/>
    </row>
    <row r="32" spans="2:6" ht="15" x14ac:dyDescent="0.25">
      <c r="B32"/>
      <c r="C32"/>
      <c r="D32"/>
      <c r="E32"/>
      <c r="F32"/>
    </row>
    <row r="33" spans="2:6" ht="15" x14ac:dyDescent="0.25">
      <c r="B33" s="29"/>
      <c r="C33"/>
      <c r="D33"/>
      <c r="E33"/>
      <c r="F33"/>
    </row>
  </sheetData>
  <sheetProtection formatCells="0" formatColumns="0" formatRows="0" insertColumns="0" insertRows="0" insertHyperlinks="0" deleteColumns="0" deleteRows="0" sort="0" autoFilter="0" pivotTables="0"/>
  <mergeCells count="10">
    <mergeCell ref="A9:A12"/>
    <mergeCell ref="D10:O12"/>
    <mergeCell ref="L5:O5"/>
    <mergeCell ref="G5:G6"/>
    <mergeCell ref="A7:O7"/>
    <mergeCell ref="D5:F5"/>
    <mergeCell ref="H5:K5"/>
    <mergeCell ref="C5:C6"/>
    <mergeCell ref="B5:B6"/>
    <mergeCell ref="A5:A6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1"/>
  <sheetViews>
    <sheetView view="pageBreakPreview" topLeftCell="A4" zoomScale="96" zoomScaleNormal="80" zoomScaleSheetLayoutView="96" workbookViewId="0">
      <selection activeCell="B10" sqref="B10"/>
    </sheetView>
  </sheetViews>
  <sheetFormatPr defaultRowHeight="15" x14ac:dyDescent="0.25"/>
  <cols>
    <col min="1" max="1" width="13" style="43" customWidth="1"/>
    <col min="2" max="2" width="28.7109375" style="43" customWidth="1"/>
    <col min="3" max="3" width="15.7109375" style="63" bestFit="1" customWidth="1"/>
    <col min="4" max="5" width="9.140625" style="43"/>
    <col min="6" max="6" width="9.5703125" style="43" bestFit="1" customWidth="1"/>
    <col min="7" max="7" width="13" style="43" customWidth="1"/>
    <col min="8" max="8" width="9.140625" style="43"/>
    <col min="9" max="9" width="9.5703125" style="43" bestFit="1" customWidth="1"/>
    <col min="10" max="11" width="9.140625" style="43"/>
    <col min="12" max="14" width="9.5703125" style="43" bestFit="1" customWidth="1"/>
    <col min="15" max="16384" width="9.140625" style="43"/>
  </cols>
  <sheetData>
    <row r="1" spans="1:19" ht="15.75" x14ac:dyDescent="0.25">
      <c r="A1" s="41" t="s">
        <v>29</v>
      </c>
      <c r="B1" s="42" t="s">
        <v>37</v>
      </c>
    </row>
    <row r="2" spans="1:19" ht="15.75" x14ac:dyDescent="0.25">
      <c r="A2" s="41" t="s">
        <v>31</v>
      </c>
      <c r="B2" s="42" t="s">
        <v>32</v>
      </c>
    </row>
    <row r="3" spans="1:19" ht="15.75" x14ac:dyDescent="0.25">
      <c r="A3" s="41" t="s">
        <v>33</v>
      </c>
      <c r="B3" s="42" t="s">
        <v>34</v>
      </c>
    </row>
    <row r="4" spans="1:19" ht="31.5" x14ac:dyDescent="0.25">
      <c r="A4" s="41" t="s">
        <v>35</v>
      </c>
      <c r="B4" s="42" t="s">
        <v>36</v>
      </c>
    </row>
    <row r="5" spans="1:19" ht="15.75" x14ac:dyDescent="0.25">
      <c r="A5" s="145" t="s">
        <v>23</v>
      </c>
      <c r="B5" s="145" t="s">
        <v>18</v>
      </c>
      <c r="C5" s="148" t="s">
        <v>19</v>
      </c>
      <c r="D5" s="142" t="s">
        <v>26</v>
      </c>
      <c r="E5" s="143"/>
      <c r="F5" s="144"/>
      <c r="G5" s="145" t="s">
        <v>0</v>
      </c>
      <c r="H5" s="142" t="s">
        <v>25</v>
      </c>
      <c r="I5" s="143"/>
      <c r="J5" s="143"/>
      <c r="K5" s="144"/>
      <c r="L5" s="142" t="s">
        <v>24</v>
      </c>
      <c r="M5" s="143"/>
      <c r="N5" s="143"/>
      <c r="O5" s="144"/>
    </row>
    <row r="6" spans="1:19" ht="15.75" x14ac:dyDescent="0.25">
      <c r="A6" s="146"/>
      <c r="B6" s="147"/>
      <c r="C6" s="149"/>
      <c r="D6" s="44" t="s">
        <v>1</v>
      </c>
      <c r="E6" s="44" t="s">
        <v>2</v>
      </c>
      <c r="F6" s="44" t="s">
        <v>3</v>
      </c>
      <c r="G6" s="146"/>
      <c r="H6" s="44" t="s">
        <v>95</v>
      </c>
      <c r="I6" s="44" t="s">
        <v>4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9</v>
      </c>
      <c r="O6" s="44" t="s">
        <v>10</v>
      </c>
    </row>
    <row r="7" spans="1:19" ht="18.75" x14ac:dyDescent="0.25">
      <c r="A7" s="150" t="s">
        <v>28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9" s="47" customFormat="1" ht="25.5" x14ac:dyDescent="0.2">
      <c r="A8" s="152">
        <v>218</v>
      </c>
      <c r="B8" s="45" t="s">
        <v>43</v>
      </c>
      <c r="C8" s="64">
        <v>130</v>
      </c>
      <c r="D8" s="46">
        <v>16.329999999999998</v>
      </c>
      <c r="E8" s="46">
        <v>8</v>
      </c>
      <c r="F8" s="46">
        <v>16.309999999999999</v>
      </c>
      <c r="G8" s="46">
        <v>203</v>
      </c>
      <c r="H8" s="46">
        <v>0.05</v>
      </c>
      <c r="I8" s="46">
        <v>0.37</v>
      </c>
      <c r="J8" s="46">
        <v>56.1</v>
      </c>
      <c r="K8" s="46">
        <v>0.32</v>
      </c>
      <c r="L8" s="46">
        <v>132.81</v>
      </c>
      <c r="M8" s="46">
        <v>167.3</v>
      </c>
      <c r="N8" s="46">
        <v>21</v>
      </c>
      <c r="O8" s="46">
        <v>0.4</v>
      </c>
    </row>
    <row r="9" spans="1:19" s="47" customFormat="1" ht="12.75" x14ac:dyDescent="0.2">
      <c r="A9" s="153"/>
      <c r="B9" s="33" t="s">
        <v>97</v>
      </c>
      <c r="C9" s="64">
        <v>30</v>
      </c>
      <c r="D9" s="160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2"/>
    </row>
    <row r="10" spans="1:19" s="49" customFormat="1" x14ac:dyDescent="0.25">
      <c r="A10" s="121">
        <v>2</v>
      </c>
      <c r="B10" s="7" t="s">
        <v>98</v>
      </c>
      <c r="C10" s="69">
        <v>60</v>
      </c>
      <c r="D10" s="105">
        <v>3.7</v>
      </c>
      <c r="E10" s="105">
        <v>8.5</v>
      </c>
      <c r="F10" s="105">
        <v>26.25</v>
      </c>
      <c r="G10" s="105">
        <v>155</v>
      </c>
      <c r="H10" s="105">
        <v>3.4000000000000002E-2</v>
      </c>
      <c r="I10" s="105"/>
      <c r="J10" s="105">
        <v>0.13</v>
      </c>
      <c r="K10" s="105">
        <v>0.44</v>
      </c>
      <c r="L10" s="105">
        <v>8.4</v>
      </c>
      <c r="M10" s="105">
        <v>22.5</v>
      </c>
      <c r="N10" s="105">
        <v>4.2</v>
      </c>
      <c r="O10" s="105">
        <v>0.35</v>
      </c>
      <c r="P10" s="66"/>
      <c r="Q10" s="66"/>
      <c r="R10" s="66"/>
      <c r="S10" s="66"/>
    </row>
    <row r="11" spans="1:19" s="47" customFormat="1" x14ac:dyDescent="0.2">
      <c r="A11" s="122"/>
      <c r="B11" s="33" t="s">
        <v>99</v>
      </c>
      <c r="C11" s="70">
        <v>50</v>
      </c>
      <c r="D11" s="154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6"/>
      <c r="P11" s="59"/>
      <c r="Q11" s="59"/>
      <c r="R11" s="67"/>
      <c r="S11" s="67"/>
    </row>
    <row r="12" spans="1:19" s="48" customFormat="1" x14ac:dyDescent="0.2">
      <c r="A12" s="123"/>
      <c r="B12" s="31" t="s">
        <v>79</v>
      </c>
      <c r="C12" s="70">
        <v>10</v>
      </c>
      <c r="D12" s="157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9"/>
      <c r="P12" s="59"/>
      <c r="Q12" s="59"/>
      <c r="R12" s="68"/>
      <c r="S12" s="68"/>
    </row>
    <row r="13" spans="1:19" s="13" customFormat="1" x14ac:dyDescent="0.25">
      <c r="A13" s="92">
        <v>382</v>
      </c>
      <c r="B13" s="7" t="s">
        <v>38</v>
      </c>
      <c r="C13" s="92">
        <v>200</v>
      </c>
      <c r="D13" s="15">
        <f>20.39/10*2</f>
        <v>4.0780000000000003</v>
      </c>
      <c r="E13" s="15">
        <f>17.72/10*2</f>
        <v>3.5439999999999996</v>
      </c>
      <c r="F13" s="15">
        <f>87.89/10*2</f>
        <v>17.577999999999999</v>
      </c>
      <c r="G13" s="15">
        <f>593/10*2</f>
        <v>118.6</v>
      </c>
      <c r="H13" s="15">
        <f>0.28/10*2</f>
        <v>5.6000000000000008E-2</v>
      </c>
      <c r="I13" s="15">
        <f>7.94/10*2</f>
        <v>1.5880000000000001</v>
      </c>
      <c r="J13" s="15">
        <f>122/10*2</f>
        <v>24.4</v>
      </c>
      <c r="K13" s="15"/>
      <c r="L13" s="15">
        <f>761.1/10*2</f>
        <v>152.22</v>
      </c>
      <c r="M13" s="15">
        <f>622.8/10*2</f>
        <v>124.55999999999999</v>
      </c>
      <c r="N13" s="15">
        <f>106.7/10*2</f>
        <v>21.34</v>
      </c>
      <c r="O13" s="15">
        <f>8.2/5</f>
        <v>1.64</v>
      </c>
    </row>
    <row r="14" spans="1:19" s="13" customFormat="1" x14ac:dyDescent="0.25">
      <c r="A14" s="107"/>
      <c r="B14" s="7" t="s">
        <v>121</v>
      </c>
      <c r="C14" s="6" t="s">
        <v>82</v>
      </c>
      <c r="D14" s="8">
        <v>0.8</v>
      </c>
      <c r="E14" s="8">
        <v>0.35</v>
      </c>
      <c r="F14" s="8">
        <v>16.05</v>
      </c>
      <c r="G14" s="8">
        <v>73</v>
      </c>
      <c r="H14" s="8"/>
      <c r="I14" s="8">
        <v>21.25</v>
      </c>
      <c r="J14" s="8"/>
      <c r="K14" s="8"/>
      <c r="L14" s="8">
        <v>19.5</v>
      </c>
      <c r="M14" s="8"/>
      <c r="N14" s="8">
        <v>19</v>
      </c>
      <c r="O14" s="8"/>
    </row>
    <row r="15" spans="1:19" x14ac:dyDescent="0.25">
      <c r="A15" s="83" t="s">
        <v>11</v>
      </c>
      <c r="B15" s="84"/>
      <c r="C15" s="85"/>
      <c r="D15" s="86">
        <v>24.91</v>
      </c>
      <c r="E15" s="86">
        <v>20.39</v>
      </c>
      <c r="F15" s="86">
        <v>76.19</v>
      </c>
      <c r="G15" s="86">
        <v>549</v>
      </c>
      <c r="H15" s="86"/>
      <c r="I15" s="86"/>
      <c r="J15" s="86"/>
      <c r="K15" s="86"/>
      <c r="L15" s="86"/>
      <c r="M15" s="86"/>
      <c r="N15" s="86"/>
      <c r="O15" s="86"/>
      <c r="P15" s="60"/>
      <c r="Q15" s="60"/>
      <c r="R15" s="60"/>
      <c r="S15" s="60"/>
    </row>
    <row r="16" spans="1:19" x14ac:dyDescent="0.25">
      <c r="A16" s="60"/>
      <c r="B16" s="60"/>
      <c r="C16" s="65"/>
      <c r="D16" s="60"/>
      <c r="E16" s="60"/>
      <c r="F16" s="60"/>
      <c r="G16" s="61"/>
      <c r="H16" s="60"/>
    </row>
    <row r="17" spans="1:8" x14ac:dyDescent="0.25">
      <c r="A17" s="60"/>
      <c r="B17" s="60"/>
      <c r="C17" s="65"/>
      <c r="D17" s="60"/>
      <c r="E17" s="60"/>
      <c r="F17" s="60"/>
      <c r="G17" s="60"/>
      <c r="H17" s="60"/>
    </row>
    <row r="18" spans="1:8" x14ac:dyDescent="0.25">
      <c r="A18" s="60"/>
      <c r="B18" s="60"/>
      <c r="C18" s="65"/>
      <c r="D18" s="60"/>
      <c r="E18" s="60"/>
      <c r="F18" s="60"/>
      <c r="G18" s="60"/>
      <c r="H18" s="60"/>
    </row>
    <row r="19" spans="1:8" x14ac:dyDescent="0.25">
      <c r="A19" s="60"/>
      <c r="B19" s="60"/>
      <c r="C19" s="65"/>
      <c r="D19" s="60"/>
      <c r="E19" s="60"/>
      <c r="F19" s="60"/>
      <c r="G19" s="60"/>
      <c r="H19" s="60"/>
    </row>
    <row r="20" spans="1:8" x14ac:dyDescent="0.25">
      <c r="A20" s="60"/>
      <c r="B20" s="60"/>
      <c r="C20" s="65"/>
      <c r="D20" s="60"/>
      <c r="E20" s="60"/>
      <c r="F20" s="60"/>
      <c r="G20" s="60"/>
      <c r="H20" s="60"/>
    </row>
    <row r="21" spans="1:8" x14ac:dyDescent="0.25">
      <c r="A21" s="60"/>
      <c r="B21" s="60"/>
      <c r="C21" s="65"/>
      <c r="D21" s="60"/>
      <c r="E21" s="60"/>
      <c r="F21" s="60"/>
      <c r="G21" s="60"/>
      <c r="H21" s="60"/>
    </row>
  </sheetData>
  <sheetProtection formatCells="0" formatColumns="0" formatRows="0" insertColumns="0" insertRows="0" insertHyperlinks="0" deleteColumns="0" deleteRows="0" sort="0" autoFilter="0" pivotTables="0"/>
  <mergeCells count="12">
    <mergeCell ref="A7:O7"/>
    <mergeCell ref="A10:A12"/>
    <mergeCell ref="A8:A9"/>
    <mergeCell ref="D11:O12"/>
    <mergeCell ref="D9:O9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S16"/>
  <sheetViews>
    <sheetView view="pageBreakPreview" zoomScaleNormal="90" zoomScaleSheetLayoutView="100" workbookViewId="0">
      <selection activeCell="B13" sqref="B13"/>
    </sheetView>
  </sheetViews>
  <sheetFormatPr defaultRowHeight="15" x14ac:dyDescent="0.25"/>
  <cols>
    <col min="1" max="1" width="14" style="13" bestFit="1" customWidth="1"/>
    <col min="2" max="2" width="32.7109375" style="13" customWidth="1"/>
    <col min="3" max="6" width="9.140625" style="13"/>
    <col min="7" max="7" width="11.85546875" style="13" customWidth="1"/>
    <col min="8" max="8" width="10" style="13" bestFit="1" customWidth="1"/>
    <col min="9" max="9" width="10.5703125" style="13" bestFit="1" customWidth="1"/>
    <col min="10" max="16384" width="9.140625" style="13"/>
  </cols>
  <sheetData>
    <row r="1" spans="1:19" ht="15.75" x14ac:dyDescent="0.25">
      <c r="A1" s="93" t="s">
        <v>29</v>
      </c>
      <c r="B1" s="94" t="s">
        <v>39</v>
      </c>
    </row>
    <row r="2" spans="1:19" ht="15.75" x14ac:dyDescent="0.25">
      <c r="A2" s="93" t="s">
        <v>31</v>
      </c>
      <c r="B2" s="94" t="s">
        <v>32</v>
      </c>
    </row>
    <row r="3" spans="1:19" ht="15.75" x14ac:dyDescent="0.25">
      <c r="A3" s="93" t="s">
        <v>33</v>
      </c>
      <c r="B3" s="94" t="s">
        <v>34</v>
      </c>
    </row>
    <row r="4" spans="1:19" ht="31.5" x14ac:dyDescent="0.25">
      <c r="A4" s="93" t="s">
        <v>35</v>
      </c>
      <c r="B4" s="94" t="s">
        <v>36</v>
      </c>
    </row>
    <row r="5" spans="1:19" ht="15.75" x14ac:dyDescent="0.25">
      <c r="A5" s="168" t="s">
        <v>23</v>
      </c>
      <c r="B5" s="168" t="s">
        <v>18</v>
      </c>
      <c r="C5" s="168" t="s">
        <v>19</v>
      </c>
      <c r="D5" s="165" t="s">
        <v>26</v>
      </c>
      <c r="E5" s="166"/>
      <c r="F5" s="167"/>
      <c r="G5" s="168" t="s">
        <v>0</v>
      </c>
      <c r="H5" s="165" t="s">
        <v>25</v>
      </c>
      <c r="I5" s="166"/>
      <c r="J5" s="166"/>
      <c r="K5" s="167"/>
      <c r="L5" s="165" t="s">
        <v>24</v>
      </c>
      <c r="M5" s="166"/>
      <c r="N5" s="166"/>
      <c r="O5" s="167"/>
    </row>
    <row r="6" spans="1:19" ht="15.75" x14ac:dyDescent="0.25">
      <c r="A6" s="169"/>
      <c r="B6" s="170"/>
      <c r="C6" s="171"/>
      <c r="D6" s="95" t="s">
        <v>1</v>
      </c>
      <c r="E6" s="95" t="s">
        <v>2</v>
      </c>
      <c r="F6" s="95" t="s">
        <v>3</v>
      </c>
      <c r="G6" s="169"/>
      <c r="H6" s="95" t="s">
        <v>17</v>
      </c>
      <c r="I6" s="95" t="s">
        <v>4</v>
      </c>
      <c r="J6" s="95" t="s">
        <v>5</v>
      </c>
      <c r="K6" s="95" t="s">
        <v>6</v>
      </c>
      <c r="L6" s="95" t="s">
        <v>7</v>
      </c>
      <c r="M6" s="95" t="s">
        <v>8</v>
      </c>
      <c r="N6" s="95" t="s">
        <v>9</v>
      </c>
      <c r="O6" s="95" t="s">
        <v>10</v>
      </c>
    </row>
    <row r="7" spans="1:19" ht="18.75" x14ac:dyDescent="0.25">
      <c r="A7" s="163" t="s">
        <v>28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</row>
    <row r="8" spans="1:19" s="9" customFormat="1" ht="25.5" x14ac:dyDescent="0.2">
      <c r="A8" s="90">
        <v>186</v>
      </c>
      <c r="B8" s="7" t="s">
        <v>91</v>
      </c>
      <c r="C8" s="6">
        <v>110</v>
      </c>
      <c r="D8" s="8">
        <f>5.67*2</f>
        <v>11.34</v>
      </c>
      <c r="E8" s="8">
        <f>9.89*2</f>
        <v>19.78</v>
      </c>
      <c r="F8" s="8">
        <f>1.47*2</f>
        <v>2.94</v>
      </c>
      <c r="G8" s="8">
        <f>118*2</f>
        <v>236</v>
      </c>
      <c r="H8" s="8">
        <f>0.03*2</f>
        <v>0.06</v>
      </c>
      <c r="I8" s="8">
        <f>0.17*2</f>
        <v>0.34</v>
      </c>
      <c r="J8" s="8">
        <f>127.4*2</f>
        <v>254.8</v>
      </c>
      <c r="K8" s="8">
        <f>0.29*2</f>
        <v>0.57999999999999996</v>
      </c>
      <c r="L8" s="8">
        <f>50.9*2</f>
        <v>101.8</v>
      </c>
      <c r="M8" s="8">
        <f>95.8*2</f>
        <v>191.6</v>
      </c>
      <c r="N8" s="8">
        <f>7.48*2</f>
        <v>14.96</v>
      </c>
      <c r="O8" s="8">
        <f>1.03*2</f>
        <v>2.06</v>
      </c>
    </row>
    <row r="9" spans="1:19" s="49" customFormat="1" ht="25.5" x14ac:dyDescent="0.25">
      <c r="A9" s="121">
        <v>3</v>
      </c>
      <c r="B9" s="7" t="s">
        <v>50</v>
      </c>
      <c r="C9" s="92">
        <v>50</v>
      </c>
      <c r="D9" s="15">
        <v>5.8</v>
      </c>
      <c r="E9" s="15">
        <v>8.3000000000000007</v>
      </c>
      <c r="F9" s="15">
        <v>14.83</v>
      </c>
      <c r="G9" s="15">
        <v>157</v>
      </c>
      <c r="H9" s="15">
        <v>0.04</v>
      </c>
      <c r="I9" s="15">
        <v>0.11</v>
      </c>
      <c r="J9" s="15">
        <v>59</v>
      </c>
      <c r="K9" s="15">
        <v>0.47</v>
      </c>
      <c r="L9" s="15">
        <v>139.19999999999999</v>
      </c>
      <c r="M9" s="15">
        <v>96</v>
      </c>
      <c r="N9" s="15">
        <v>9.4499999999999993</v>
      </c>
      <c r="O9" s="15">
        <v>0.49</v>
      </c>
      <c r="P9" s="66"/>
      <c r="Q9" s="66"/>
      <c r="R9" s="66"/>
      <c r="S9" s="66"/>
    </row>
    <row r="10" spans="1:19" s="47" customFormat="1" x14ac:dyDescent="0.2">
      <c r="A10" s="122"/>
      <c r="B10" s="33" t="s">
        <v>56</v>
      </c>
      <c r="C10" s="40">
        <v>30</v>
      </c>
      <c r="D10" s="124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6"/>
      <c r="P10" s="96"/>
      <c r="Q10" s="96"/>
      <c r="R10" s="67"/>
      <c r="S10" s="67"/>
    </row>
    <row r="11" spans="1:19" s="98" customFormat="1" x14ac:dyDescent="0.2">
      <c r="A11" s="122"/>
      <c r="B11" s="33" t="s">
        <v>79</v>
      </c>
      <c r="C11" s="40">
        <v>5</v>
      </c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9"/>
      <c r="P11" s="96"/>
      <c r="Q11" s="96"/>
      <c r="R11" s="97"/>
      <c r="S11" s="97"/>
    </row>
    <row r="12" spans="1:19" x14ac:dyDescent="0.25">
      <c r="A12" s="123"/>
      <c r="B12" s="33" t="s">
        <v>93</v>
      </c>
      <c r="C12" s="40">
        <v>15</v>
      </c>
      <c r="D12" s="130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2"/>
    </row>
    <row r="13" spans="1:19" x14ac:dyDescent="0.25">
      <c r="A13" s="92">
        <v>379</v>
      </c>
      <c r="B13" s="7" t="s">
        <v>90</v>
      </c>
      <c r="C13" s="92">
        <v>200</v>
      </c>
      <c r="D13" s="15">
        <f>15.83/5</f>
        <v>3.1659999999999999</v>
      </c>
      <c r="E13" s="15">
        <f>13.39/5</f>
        <v>2.6779999999999999</v>
      </c>
      <c r="F13" s="15">
        <f>79.73/5</f>
        <v>15.946000000000002</v>
      </c>
      <c r="G13" s="15">
        <f>503/5</f>
        <v>100.6</v>
      </c>
      <c r="H13" s="15">
        <f>0.22/5</f>
        <v>4.3999999999999997E-2</v>
      </c>
      <c r="I13" s="15">
        <f>6.5/5</f>
        <v>1.3</v>
      </c>
      <c r="J13" s="15">
        <f>100/5</f>
        <v>20</v>
      </c>
      <c r="K13" s="15"/>
      <c r="L13" s="15">
        <f>628.9/5</f>
        <v>125.78</v>
      </c>
      <c r="M13" s="15">
        <f>450/5</f>
        <v>90</v>
      </c>
      <c r="N13" s="15">
        <f>70/5</f>
        <v>14</v>
      </c>
      <c r="O13" s="102"/>
    </row>
    <row r="14" spans="1:19" x14ac:dyDescent="0.25">
      <c r="A14" s="92"/>
      <c r="B14" s="7" t="s">
        <v>121</v>
      </c>
      <c r="C14" s="6" t="s">
        <v>82</v>
      </c>
      <c r="D14" s="8">
        <v>0.8</v>
      </c>
      <c r="E14" s="8">
        <v>0.35</v>
      </c>
      <c r="F14" s="8">
        <v>16.05</v>
      </c>
      <c r="G14" s="8">
        <v>73</v>
      </c>
      <c r="H14" s="8"/>
      <c r="I14" s="8">
        <v>21.25</v>
      </c>
      <c r="J14" s="8"/>
      <c r="K14" s="8"/>
      <c r="L14" s="8">
        <v>19.5</v>
      </c>
      <c r="M14" s="8"/>
      <c r="N14" s="8">
        <v>19</v>
      </c>
      <c r="O14" s="8"/>
    </row>
    <row r="15" spans="1:19" s="99" customFormat="1" x14ac:dyDescent="0.25">
      <c r="A15" s="79" t="s">
        <v>11</v>
      </c>
      <c r="B15" s="79"/>
      <c r="C15" s="79"/>
      <c r="D15" s="87">
        <v>21.11</v>
      </c>
      <c r="E15" s="87">
        <v>31.11</v>
      </c>
      <c r="F15" s="87">
        <v>39.770000000000003</v>
      </c>
      <c r="G15" s="87">
        <v>566.6</v>
      </c>
      <c r="H15" s="88"/>
      <c r="I15" s="89"/>
      <c r="J15" s="89"/>
      <c r="K15" s="89"/>
      <c r="L15" s="89"/>
      <c r="M15" s="89"/>
      <c r="N15" s="89"/>
      <c r="O15" s="89"/>
    </row>
    <row r="16" spans="1:19" x14ac:dyDescent="0.25">
      <c r="O16" s="15">
        <f>0.67/5</f>
        <v>0.13400000000000001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7:O7"/>
    <mergeCell ref="A9:A12"/>
    <mergeCell ref="D10:O12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O15"/>
  <sheetViews>
    <sheetView view="pageBreakPreview" zoomScale="98" zoomScaleNormal="100" zoomScaleSheetLayoutView="98" workbookViewId="0">
      <selection activeCell="I17" sqref="I17"/>
    </sheetView>
  </sheetViews>
  <sheetFormatPr defaultRowHeight="15" x14ac:dyDescent="0.2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 x14ac:dyDescent="0.25">
      <c r="A1" s="12" t="s">
        <v>29</v>
      </c>
      <c r="B1" s="11" t="s">
        <v>40</v>
      </c>
    </row>
    <row r="2" spans="1:15" ht="15.75" x14ac:dyDescent="0.25">
      <c r="A2" s="12" t="s">
        <v>31</v>
      </c>
      <c r="B2" s="11" t="s">
        <v>32</v>
      </c>
    </row>
    <row r="3" spans="1:15" ht="15.75" x14ac:dyDescent="0.25">
      <c r="A3" s="12" t="s">
        <v>33</v>
      </c>
      <c r="B3" s="11" t="s">
        <v>34</v>
      </c>
    </row>
    <row r="4" spans="1:15" ht="31.5" x14ac:dyDescent="0.25">
      <c r="A4" s="12" t="s">
        <v>35</v>
      </c>
      <c r="B4" s="11" t="s">
        <v>36</v>
      </c>
    </row>
    <row r="5" spans="1:15" ht="15.75" x14ac:dyDescent="0.25">
      <c r="A5" s="177" t="s">
        <v>23</v>
      </c>
      <c r="B5" s="177" t="s">
        <v>18</v>
      </c>
      <c r="C5" s="177" t="s">
        <v>19</v>
      </c>
      <c r="D5" s="174" t="s">
        <v>26</v>
      </c>
      <c r="E5" s="175"/>
      <c r="F5" s="176"/>
      <c r="G5" s="177" t="s">
        <v>0</v>
      </c>
      <c r="H5" s="174" t="s">
        <v>25</v>
      </c>
      <c r="I5" s="175"/>
      <c r="J5" s="175"/>
      <c r="K5" s="176"/>
      <c r="L5" s="174" t="s">
        <v>24</v>
      </c>
      <c r="M5" s="175"/>
      <c r="N5" s="175"/>
      <c r="O5" s="176"/>
    </row>
    <row r="6" spans="1:15" ht="15.75" x14ac:dyDescent="0.25">
      <c r="A6" s="178"/>
      <c r="B6" s="179"/>
      <c r="C6" s="180"/>
      <c r="D6" s="5" t="s">
        <v>1</v>
      </c>
      <c r="E6" s="5" t="s">
        <v>2</v>
      </c>
      <c r="F6" s="5" t="s">
        <v>3</v>
      </c>
      <c r="G6" s="178"/>
      <c r="H6" s="5" t="s">
        <v>17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8</v>
      </c>
      <c r="N6" s="5" t="s">
        <v>9</v>
      </c>
      <c r="O6" s="5" t="s">
        <v>10</v>
      </c>
    </row>
    <row r="7" spans="1:15" ht="18.75" x14ac:dyDescent="0.25">
      <c r="A7" s="172" t="s">
        <v>28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1:15" s="13" customFormat="1" x14ac:dyDescent="0.25">
      <c r="A8" s="92">
        <v>302</v>
      </c>
      <c r="B8" s="7" t="s">
        <v>16</v>
      </c>
      <c r="C8" s="92">
        <v>150</v>
      </c>
      <c r="D8" s="15">
        <f>57.32/100*15</f>
        <v>8.5980000000000008</v>
      </c>
      <c r="E8" s="15">
        <f>40.62/100*15</f>
        <v>6.0929999999999991</v>
      </c>
      <c r="F8" s="15">
        <f>257.61/100*15</f>
        <v>38.641500000000008</v>
      </c>
      <c r="G8" s="15">
        <f>1625/100*15</f>
        <v>243.75</v>
      </c>
      <c r="H8" s="15">
        <f>1.39/100*15</f>
        <v>0.20849999999999999</v>
      </c>
      <c r="I8" s="15"/>
      <c r="J8" s="15"/>
      <c r="K8" s="15">
        <f>4.05/100*15</f>
        <v>0.60750000000000004</v>
      </c>
      <c r="L8" s="15">
        <f>98.8/100*15</f>
        <v>14.82</v>
      </c>
      <c r="M8" s="15">
        <f>1359.5/100*15</f>
        <v>203.92500000000001</v>
      </c>
      <c r="N8" s="15">
        <f>905.5/100*15</f>
        <v>135.82499999999999</v>
      </c>
      <c r="O8" s="15">
        <f>30.4/100*15</f>
        <v>4.5599999999999996</v>
      </c>
    </row>
    <row r="9" spans="1:15" s="13" customFormat="1" ht="25.5" x14ac:dyDescent="0.25">
      <c r="A9" s="92">
        <v>246</v>
      </c>
      <c r="B9" s="7" t="s">
        <v>118</v>
      </c>
      <c r="C9" s="92">
        <v>100</v>
      </c>
      <c r="D9" s="15">
        <v>13.36</v>
      </c>
      <c r="E9" s="15">
        <v>14.08</v>
      </c>
      <c r="F9" s="15">
        <v>0.85</v>
      </c>
      <c r="G9" s="15">
        <v>164</v>
      </c>
      <c r="H9" s="15">
        <v>0.01</v>
      </c>
      <c r="I9" s="15">
        <v>1.2</v>
      </c>
      <c r="J9" s="15"/>
      <c r="K9" s="15"/>
      <c r="L9" s="15">
        <v>23.6</v>
      </c>
      <c r="M9" s="15">
        <v>117.03</v>
      </c>
      <c r="N9" s="15">
        <v>20.27</v>
      </c>
      <c r="O9" s="15">
        <v>2</v>
      </c>
    </row>
    <row r="10" spans="1:15" s="13" customFormat="1" x14ac:dyDescent="0.25">
      <c r="A10" s="92"/>
      <c r="B10" s="7" t="s">
        <v>14</v>
      </c>
      <c r="C10" s="92">
        <v>40</v>
      </c>
      <c r="D10" s="15">
        <v>2.2400000000000002</v>
      </c>
      <c r="E10" s="15">
        <v>0.88</v>
      </c>
      <c r="F10" s="15">
        <v>19.760000000000002</v>
      </c>
      <c r="G10" s="15">
        <v>91.96</v>
      </c>
      <c r="H10" s="15">
        <v>0.04</v>
      </c>
      <c r="I10" s="15"/>
      <c r="J10" s="15"/>
      <c r="K10" s="15">
        <v>0.36</v>
      </c>
      <c r="L10" s="15">
        <v>9.1999999999999993</v>
      </c>
      <c r="M10" s="15">
        <v>42.4</v>
      </c>
      <c r="N10" s="15">
        <v>10</v>
      </c>
      <c r="O10" s="15">
        <v>1.24</v>
      </c>
    </row>
    <row r="11" spans="1:15" s="13" customFormat="1" ht="25.5" x14ac:dyDescent="0.25">
      <c r="A11" s="92">
        <v>389</v>
      </c>
      <c r="B11" s="7" t="s">
        <v>122</v>
      </c>
      <c r="C11" s="75">
        <v>200</v>
      </c>
      <c r="D11" s="76">
        <f>1</f>
        <v>1</v>
      </c>
      <c r="E11" s="75">
        <v>0</v>
      </c>
      <c r="F11" s="76">
        <f>101/5</f>
        <v>20.2</v>
      </c>
      <c r="G11" s="75">
        <f>424/5</f>
        <v>84.8</v>
      </c>
      <c r="H11" s="76">
        <f>0.11/5</f>
        <v>2.1999999999999999E-2</v>
      </c>
      <c r="I11" s="75">
        <f>30/5</f>
        <v>6</v>
      </c>
      <c r="J11" s="76">
        <v>0</v>
      </c>
      <c r="K11" s="75">
        <f>1/5</f>
        <v>0.2</v>
      </c>
      <c r="L11" s="76">
        <f>70/5</f>
        <v>14</v>
      </c>
      <c r="M11" s="75">
        <f>70/5</f>
        <v>14</v>
      </c>
      <c r="N11" s="76">
        <f>40/5</f>
        <v>8</v>
      </c>
      <c r="O11" s="77">
        <f>14/5</f>
        <v>2.8</v>
      </c>
    </row>
    <row r="12" spans="1:15" s="13" customFormat="1" x14ac:dyDescent="0.25">
      <c r="A12" s="92"/>
      <c r="B12" s="7" t="s">
        <v>121</v>
      </c>
      <c r="C12" s="6" t="s">
        <v>82</v>
      </c>
      <c r="D12" s="8">
        <v>0.8</v>
      </c>
      <c r="E12" s="8">
        <v>0.35</v>
      </c>
      <c r="F12" s="8">
        <v>16.05</v>
      </c>
      <c r="G12" s="8">
        <v>73</v>
      </c>
      <c r="H12" s="8"/>
      <c r="I12" s="8">
        <v>21.25</v>
      </c>
      <c r="J12" s="8"/>
      <c r="K12" s="8"/>
      <c r="L12" s="8">
        <v>19.5</v>
      </c>
      <c r="M12" s="8"/>
      <c r="N12" s="8">
        <v>19</v>
      </c>
      <c r="O12" s="8"/>
    </row>
    <row r="13" spans="1:15" s="13" customFormat="1" x14ac:dyDescent="0.25">
      <c r="A13" s="80" t="s">
        <v>11</v>
      </c>
      <c r="B13" s="80"/>
      <c r="C13" s="80"/>
      <c r="D13" s="81">
        <f>SUM(D8:D12)</f>
        <v>25.998000000000001</v>
      </c>
      <c r="E13" s="81">
        <f>SUM(E8:E12)</f>
        <v>21.402999999999999</v>
      </c>
      <c r="F13" s="81">
        <f>SUM(F8:F12)</f>
        <v>95.501500000000007</v>
      </c>
      <c r="G13" s="81">
        <f>SUM(G8:G12)</f>
        <v>657.51</v>
      </c>
      <c r="H13" s="81"/>
      <c r="I13" s="81"/>
      <c r="J13" s="81"/>
      <c r="K13" s="81"/>
      <c r="L13" s="81"/>
      <c r="M13" s="81"/>
      <c r="N13" s="81"/>
      <c r="O13" s="81"/>
    </row>
    <row r="15" spans="1:15" x14ac:dyDescent="0.25">
      <c r="A15" s="16"/>
      <c r="B15" s="16"/>
      <c r="C15" s="16"/>
      <c r="D15" s="16"/>
      <c r="E15" s="16"/>
      <c r="F15" s="16"/>
      <c r="G15" s="16"/>
      <c r="H15" s="16"/>
    </row>
  </sheetData>
  <sheetProtection formatCells="0" formatColumns="0" formatRows="0" insertColumns="0" insertRows="0" insertHyperlinks="0" deleteColumns="0" deleteRows="0" sort="0" autoFilter="0" pivotTables="0"/>
  <mergeCells count="8"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S35"/>
  <sheetViews>
    <sheetView view="pageBreakPreview" zoomScale="98" zoomScaleNormal="90" zoomScaleSheetLayoutView="98" workbookViewId="0">
      <selection activeCell="G21" sqref="F21:G21"/>
    </sheetView>
  </sheetViews>
  <sheetFormatPr defaultRowHeight="15" x14ac:dyDescent="0.2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9" ht="15.75" x14ac:dyDescent="0.25">
      <c r="A1" s="12" t="s">
        <v>29</v>
      </c>
      <c r="B1" s="11" t="s">
        <v>41</v>
      </c>
    </row>
    <row r="2" spans="1:19" ht="15.75" x14ac:dyDescent="0.25">
      <c r="A2" s="12" t="s">
        <v>31</v>
      </c>
      <c r="B2" s="11" t="s">
        <v>32</v>
      </c>
    </row>
    <row r="3" spans="1:19" ht="15.75" x14ac:dyDescent="0.25">
      <c r="A3" s="12" t="s">
        <v>33</v>
      </c>
      <c r="B3" s="11" t="s">
        <v>34</v>
      </c>
    </row>
    <row r="4" spans="1:19" ht="31.5" x14ac:dyDescent="0.25">
      <c r="A4" s="12" t="s">
        <v>35</v>
      </c>
      <c r="B4" s="11" t="s">
        <v>36</v>
      </c>
    </row>
    <row r="5" spans="1:19" ht="15.75" x14ac:dyDescent="0.25">
      <c r="A5" s="177" t="s">
        <v>23</v>
      </c>
      <c r="B5" s="177" t="s">
        <v>18</v>
      </c>
      <c r="C5" s="177" t="s">
        <v>19</v>
      </c>
      <c r="D5" s="174" t="s">
        <v>26</v>
      </c>
      <c r="E5" s="175"/>
      <c r="F5" s="176"/>
      <c r="G5" s="177" t="s">
        <v>0</v>
      </c>
      <c r="H5" s="174" t="s">
        <v>25</v>
      </c>
      <c r="I5" s="175"/>
      <c r="J5" s="175"/>
      <c r="K5" s="176"/>
      <c r="L5" s="174" t="s">
        <v>24</v>
      </c>
      <c r="M5" s="175"/>
      <c r="N5" s="175"/>
      <c r="O5" s="176"/>
    </row>
    <row r="6" spans="1:19" ht="15.75" x14ac:dyDescent="0.25">
      <c r="A6" s="178"/>
      <c r="B6" s="179"/>
      <c r="C6" s="180"/>
      <c r="D6" s="5" t="s">
        <v>1</v>
      </c>
      <c r="E6" s="5" t="s">
        <v>2</v>
      </c>
      <c r="F6" s="5" t="s">
        <v>3</v>
      </c>
      <c r="G6" s="178"/>
      <c r="H6" s="5" t="s">
        <v>17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8</v>
      </c>
      <c r="N6" s="5" t="s">
        <v>9</v>
      </c>
      <c r="O6" s="5" t="s">
        <v>10</v>
      </c>
    </row>
    <row r="7" spans="1:19" ht="18.75" x14ac:dyDescent="0.25">
      <c r="A7" s="181" t="s">
        <v>28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3"/>
    </row>
    <row r="8" spans="1:19" s="9" customFormat="1" ht="25.5" x14ac:dyDescent="0.2">
      <c r="A8" s="6">
        <v>182</v>
      </c>
      <c r="B8" s="7" t="s">
        <v>102</v>
      </c>
      <c r="C8" s="6">
        <v>220</v>
      </c>
      <c r="D8" s="8">
        <v>5.0999999999999996</v>
      </c>
      <c r="E8" s="8">
        <v>10.72</v>
      </c>
      <c r="F8" s="8">
        <v>33.42</v>
      </c>
      <c r="G8" s="8">
        <v>251</v>
      </c>
      <c r="H8" s="8">
        <v>0.06</v>
      </c>
      <c r="I8" s="8">
        <v>1.17</v>
      </c>
      <c r="J8" s="8">
        <v>58</v>
      </c>
      <c r="K8" s="8">
        <v>0.21</v>
      </c>
      <c r="L8" s="8">
        <v>130.09</v>
      </c>
      <c r="M8" s="8">
        <v>138.13999999999999</v>
      </c>
      <c r="N8" s="8">
        <v>30.12</v>
      </c>
      <c r="O8" s="8">
        <v>0.47</v>
      </c>
    </row>
    <row r="9" spans="1:19" s="13" customFormat="1" ht="25.5" x14ac:dyDescent="0.25">
      <c r="A9" s="14">
        <v>209</v>
      </c>
      <c r="B9" s="7" t="s">
        <v>48</v>
      </c>
      <c r="C9" s="14">
        <v>40</v>
      </c>
      <c r="D9" s="15">
        <v>5.08</v>
      </c>
      <c r="E9" s="15">
        <v>4.5999999999999996</v>
      </c>
      <c r="F9" s="15">
        <v>0.28000000000000003</v>
      </c>
      <c r="G9" s="15">
        <v>63</v>
      </c>
      <c r="H9" s="15">
        <v>0.03</v>
      </c>
      <c r="I9" s="15"/>
      <c r="J9" s="15">
        <v>100</v>
      </c>
      <c r="K9" s="15">
        <v>0.24</v>
      </c>
      <c r="L9" s="15">
        <v>22</v>
      </c>
      <c r="M9" s="15">
        <v>76.8</v>
      </c>
      <c r="N9" s="15">
        <v>4.8</v>
      </c>
      <c r="O9" s="15">
        <v>1</v>
      </c>
    </row>
    <row r="10" spans="1:19" s="49" customFormat="1" x14ac:dyDescent="0.25">
      <c r="A10" s="121">
        <v>2</v>
      </c>
      <c r="B10" s="7" t="s">
        <v>98</v>
      </c>
      <c r="C10" s="69">
        <v>60</v>
      </c>
      <c r="D10" s="105">
        <v>3.7</v>
      </c>
      <c r="E10" s="105">
        <v>8.5</v>
      </c>
      <c r="F10" s="105">
        <v>26.25</v>
      </c>
      <c r="G10" s="105">
        <v>155</v>
      </c>
      <c r="H10" s="105">
        <v>3.4000000000000002E-2</v>
      </c>
      <c r="I10" s="105"/>
      <c r="J10" s="105">
        <v>0.13</v>
      </c>
      <c r="K10" s="105">
        <v>0.44</v>
      </c>
      <c r="L10" s="105">
        <v>8.4</v>
      </c>
      <c r="M10" s="105">
        <v>22.5</v>
      </c>
      <c r="N10" s="105">
        <v>4.2</v>
      </c>
      <c r="O10" s="105">
        <v>0.35</v>
      </c>
      <c r="P10" s="66"/>
      <c r="Q10" s="66"/>
      <c r="R10" s="66"/>
      <c r="S10" s="66"/>
    </row>
    <row r="11" spans="1:19" s="47" customFormat="1" x14ac:dyDescent="0.2">
      <c r="A11" s="122"/>
      <c r="B11" s="33" t="s">
        <v>99</v>
      </c>
      <c r="C11" s="70">
        <v>50</v>
      </c>
      <c r="D11" s="154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6"/>
      <c r="P11" s="59"/>
      <c r="Q11" s="59"/>
      <c r="R11" s="67"/>
      <c r="S11" s="67"/>
    </row>
    <row r="12" spans="1:19" s="48" customFormat="1" x14ac:dyDescent="0.2">
      <c r="A12" s="123"/>
      <c r="B12" s="31" t="s">
        <v>79</v>
      </c>
      <c r="C12" s="70">
        <v>10</v>
      </c>
      <c r="D12" s="157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9"/>
      <c r="P12" s="59"/>
      <c r="Q12" s="59"/>
      <c r="R12" s="68"/>
      <c r="S12" s="68"/>
    </row>
    <row r="13" spans="1:19" s="13" customFormat="1" x14ac:dyDescent="0.25">
      <c r="A13" s="92">
        <v>382</v>
      </c>
      <c r="B13" s="7" t="s">
        <v>38</v>
      </c>
      <c r="C13" s="92">
        <v>200</v>
      </c>
      <c r="D13" s="15">
        <f>20.39/5</f>
        <v>4.0780000000000003</v>
      </c>
      <c r="E13" s="15">
        <f>17.72/5</f>
        <v>3.5439999999999996</v>
      </c>
      <c r="F13" s="15">
        <f>87.89/5</f>
        <v>17.577999999999999</v>
      </c>
      <c r="G13" s="15">
        <f>593/5</f>
        <v>118.6</v>
      </c>
      <c r="H13" s="15">
        <f>0.28/5</f>
        <v>5.6000000000000008E-2</v>
      </c>
      <c r="I13" s="15">
        <f>7.94/5</f>
        <v>1.5880000000000001</v>
      </c>
      <c r="J13" s="15">
        <f>122/5</f>
        <v>24.4</v>
      </c>
      <c r="K13" s="15"/>
      <c r="L13" s="15">
        <f>761.1/5</f>
        <v>152.22</v>
      </c>
      <c r="M13" s="15">
        <f>622.8/5</f>
        <v>124.55999999999999</v>
      </c>
      <c r="N13" s="15">
        <f>106.7/5</f>
        <v>21.34</v>
      </c>
      <c r="O13" s="28">
        <v>0.56999999999999995</v>
      </c>
    </row>
    <row r="14" spans="1:19" s="13" customFormat="1" x14ac:dyDescent="0.25">
      <c r="A14" s="92"/>
      <c r="B14" s="7" t="s">
        <v>121</v>
      </c>
      <c r="C14" s="6" t="s">
        <v>82</v>
      </c>
      <c r="D14" s="8">
        <v>0.8</v>
      </c>
      <c r="E14" s="8">
        <v>0.35</v>
      </c>
      <c r="F14" s="8">
        <v>16.05</v>
      </c>
      <c r="G14" s="8">
        <v>73</v>
      </c>
      <c r="H14" s="8"/>
      <c r="I14" s="8">
        <v>21.25</v>
      </c>
      <c r="J14" s="8"/>
      <c r="K14" s="8"/>
      <c r="L14" s="8">
        <v>19.5</v>
      </c>
      <c r="M14" s="8"/>
      <c r="N14" s="8">
        <v>19</v>
      </c>
      <c r="O14" s="8"/>
    </row>
    <row r="15" spans="1:19" s="13" customFormat="1" x14ac:dyDescent="0.25">
      <c r="A15" s="79" t="s">
        <v>11</v>
      </c>
      <c r="B15" s="80"/>
      <c r="C15" s="80"/>
      <c r="D15" s="87">
        <v>18.760000000000002</v>
      </c>
      <c r="E15" s="87">
        <v>27.71</v>
      </c>
      <c r="F15" s="87">
        <v>93.58</v>
      </c>
      <c r="G15" s="87">
        <v>660.6</v>
      </c>
      <c r="H15" s="87"/>
      <c r="I15" s="87"/>
      <c r="J15" s="87"/>
      <c r="K15" s="87"/>
      <c r="L15" s="87"/>
      <c r="M15" s="87"/>
      <c r="N15" s="87"/>
      <c r="O15" s="87"/>
    </row>
    <row r="16" spans="1:19" x14ac:dyDescent="0.25">
      <c r="B16" s="16"/>
      <c r="C16" s="16"/>
      <c r="D16" s="16"/>
      <c r="E16" s="16"/>
      <c r="F16" s="16"/>
      <c r="G16" s="16"/>
      <c r="H16" s="16"/>
    </row>
    <row r="17" spans="2:8" x14ac:dyDescent="0.25">
      <c r="B17" s="16"/>
      <c r="C17" s="16"/>
      <c r="D17" s="16"/>
      <c r="E17" s="16"/>
      <c r="F17" s="16"/>
      <c r="G17" s="16"/>
      <c r="H17" s="16"/>
    </row>
    <row r="18" spans="2:8" x14ac:dyDescent="0.25">
      <c r="B18" s="16"/>
      <c r="C18" s="16"/>
      <c r="D18" s="16"/>
      <c r="E18" s="16"/>
      <c r="F18" s="16"/>
      <c r="G18" s="16"/>
      <c r="H18" s="16"/>
    </row>
    <row r="19" spans="2:8" x14ac:dyDescent="0.25">
      <c r="B19" s="16"/>
      <c r="C19" s="16"/>
      <c r="D19" s="16"/>
      <c r="E19" s="16"/>
      <c r="F19" s="16"/>
      <c r="G19" s="16"/>
      <c r="H19" s="16"/>
    </row>
    <row r="20" spans="2:8" x14ac:dyDescent="0.25">
      <c r="B20" s="16"/>
      <c r="C20" s="16"/>
      <c r="D20" s="16"/>
      <c r="E20" s="16"/>
      <c r="F20" s="16"/>
      <c r="G20" s="16"/>
      <c r="H20" s="16"/>
    </row>
    <row r="21" spans="2:8" x14ac:dyDescent="0.25">
      <c r="B21" s="16"/>
      <c r="C21" s="16"/>
      <c r="D21" s="16"/>
      <c r="E21" s="16"/>
      <c r="F21" s="16"/>
      <c r="G21" s="16"/>
      <c r="H21" s="16"/>
    </row>
    <row r="22" spans="2:8" x14ac:dyDescent="0.25">
      <c r="B22" s="16"/>
      <c r="C22" s="16"/>
      <c r="D22" s="16"/>
      <c r="E22" s="16"/>
      <c r="F22" s="16"/>
      <c r="G22" s="16"/>
      <c r="H22" s="16"/>
    </row>
    <row r="23" spans="2:8" x14ac:dyDescent="0.25">
      <c r="B23" s="16"/>
      <c r="C23" s="16"/>
      <c r="D23" s="16"/>
      <c r="E23" s="16"/>
      <c r="F23" s="16"/>
      <c r="G23" s="16"/>
      <c r="H23" s="16"/>
    </row>
    <row r="24" spans="2:8" x14ac:dyDescent="0.25">
      <c r="B24" s="16"/>
      <c r="C24" s="16"/>
      <c r="D24" s="16"/>
      <c r="E24" s="16"/>
      <c r="F24" s="16"/>
      <c r="G24" s="16"/>
      <c r="H24" s="16"/>
    </row>
    <row r="25" spans="2:8" x14ac:dyDescent="0.25">
      <c r="B25" s="16"/>
      <c r="C25" s="16"/>
      <c r="D25" s="16"/>
      <c r="E25" s="16"/>
      <c r="F25" s="16"/>
      <c r="G25" s="16"/>
      <c r="H25" s="16"/>
    </row>
    <row r="26" spans="2:8" x14ac:dyDescent="0.25">
      <c r="B26" s="16"/>
      <c r="C26" s="16"/>
      <c r="D26" s="16"/>
      <c r="E26" s="16"/>
      <c r="F26" s="16"/>
      <c r="G26" s="16"/>
      <c r="H26" s="16"/>
    </row>
    <row r="27" spans="2:8" x14ac:dyDescent="0.25">
      <c r="B27" s="16"/>
      <c r="C27" s="16"/>
      <c r="D27" s="16"/>
      <c r="E27" s="16"/>
      <c r="F27" s="16"/>
      <c r="G27" s="16"/>
      <c r="H27" s="16"/>
    </row>
    <row r="28" spans="2:8" x14ac:dyDescent="0.25">
      <c r="B28" s="16"/>
      <c r="C28" s="16"/>
      <c r="D28" s="16"/>
      <c r="E28" s="16"/>
      <c r="F28" s="16"/>
      <c r="G28" s="16"/>
      <c r="H28" s="16"/>
    </row>
    <row r="29" spans="2:8" x14ac:dyDescent="0.25">
      <c r="B29" s="16"/>
      <c r="C29" s="16"/>
      <c r="D29" s="16"/>
      <c r="E29" s="16"/>
      <c r="F29" s="16"/>
      <c r="G29" s="16"/>
      <c r="H29" s="16"/>
    </row>
    <row r="30" spans="2:8" x14ac:dyDescent="0.25">
      <c r="B30" s="16"/>
      <c r="C30" s="16"/>
      <c r="D30" s="16"/>
      <c r="E30" s="16"/>
      <c r="F30" s="16"/>
      <c r="G30" s="16"/>
      <c r="H30" s="16"/>
    </row>
    <row r="31" spans="2:8" x14ac:dyDescent="0.25">
      <c r="B31" s="16"/>
      <c r="C31" s="16"/>
      <c r="D31" s="16"/>
      <c r="E31" s="16"/>
      <c r="F31" s="16"/>
      <c r="G31" s="16"/>
      <c r="H31" s="16"/>
    </row>
    <row r="32" spans="2:8" x14ac:dyDescent="0.25">
      <c r="B32" s="16"/>
      <c r="C32" s="16"/>
      <c r="D32" s="16"/>
      <c r="E32" s="16"/>
      <c r="F32" s="16"/>
      <c r="G32" s="16"/>
      <c r="H32" s="16"/>
    </row>
    <row r="33" spans="2:8" x14ac:dyDescent="0.25">
      <c r="B33" s="16"/>
      <c r="C33" s="16"/>
      <c r="D33" s="16"/>
      <c r="E33" s="16"/>
      <c r="F33" s="16"/>
      <c r="G33" s="16"/>
      <c r="H33" s="16"/>
    </row>
    <row r="34" spans="2:8" x14ac:dyDescent="0.25">
      <c r="B34" s="16"/>
      <c r="C34" s="16"/>
      <c r="D34" s="16"/>
      <c r="E34" s="16"/>
      <c r="F34" s="16"/>
      <c r="G34" s="16"/>
      <c r="H34" s="16"/>
    </row>
    <row r="35" spans="2:8" x14ac:dyDescent="0.25">
      <c r="B35" s="16"/>
      <c r="C35" s="16"/>
      <c r="D35" s="16"/>
      <c r="E35" s="16"/>
      <c r="F35" s="16"/>
      <c r="G35" s="16"/>
      <c r="H35" s="16"/>
    </row>
  </sheetData>
  <sheetProtection formatCells="0" formatColumns="0" formatRows="0" insertColumns="0" insertRows="0" insertHyperlinks="0" deleteColumns="0" deleteRows="0" sort="0" autoFilter="0" pivotTables="0"/>
  <mergeCells count="10">
    <mergeCell ref="A7:O7"/>
    <mergeCell ref="A10:A12"/>
    <mergeCell ref="D11:O12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A24"/>
  <sheetViews>
    <sheetView view="pageBreakPreview" zoomScale="98" zoomScaleNormal="90" zoomScaleSheetLayoutView="98" workbookViewId="0">
      <selection activeCell="I26" sqref="H26:I26"/>
    </sheetView>
  </sheetViews>
  <sheetFormatPr defaultRowHeight="15" x14ac:dyDescent="0.25"/>
  <cols>
    <col min="1" max="1" width="13.140625" customWidth="1"/>
    <col min="2" max="2" width="31.140625" style="11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16"/>
  </cols>
  <sheetData>
    <row r="1" spans="1:27" ht="15.75" x14ac:dyDescent="0.25">
      <c r="A1" s="12" t="s">
        <v>29</v>
      </c>
      <c r="B1" s="11" t="s">
        <v>30</v>
      </c>
    </row>
    <row r="2" spans="1:27" ht="15.75" x14ac:dyDescent="0.25">
      <c r="A2" s="12" t="s">
        <v>31</v>
      </c>
      <c r="B2" s="11" t="s">
        <v>49</v>
      </c>
    </row>
    <row r="3" spans="1:27" ht="15.75" x14ac:dyDescent="0.25">
      <c r="A3" s="12" t="s">
        <v>33</v>
      </c>
      <c r="B3" s="11" t="s">
        <v>34</v>
      </c>
    </row>
    <row r="4" spans="1:27" ht="31.5" x14ac:dyDescent="0.25">
      <c r="A4" s="12" t="s">
        <v>35</v>
      </c>
      <c r="B4" s="11" t="s">
        <v>36</v>
      </c>
    </row>
    <row r="5" spans="1:27" ht="15.75" x14ac:dyDescent="0.25">
      <c r="A5" s="177" t="s">
        <v>23</v>
      </c>
      <c r="B5" s="177" t="s">
        <v>18</v>
      </c>
      <c r="C5" s="177" t="s">
        <v>19</v>
      </c>
      <c r="D5" s="174" t="s">
        <v>26</v>
      </c>
      <c r="E5" s="175"/>
      <c r="F5" s="176"/>
      <c r="G5" s="177" t="s">
        <v>0</v>
      </c>
      <c r="H5" s="174" t="s">
        <v>25</v>
      </c>
      <c r="I5" s="175"/>
      <c r="J5" s="175"/>
      <c r="K5" s="176"/>
      <c r="L5" s="174" t="s">
        <v>24</v>
      </c>
      <c r="M5" s="175"/>
      <c r="N5" s="175"/>
      <c r="O5" s="176"/>
      <c r="Q5"/>
      <c r="R5"/>
      <c r="S5"/>
      <c r="T5"/>
      <c r="U5"/>
      <c r="V5"/>
      <c r="W5"/>
      <c r="X5"/>
      <c r="Y5"/>
      <c r="Z5"/>
      <c r="AA5"/>
    </row>
    <row r="6" spans="1:27" ht="15.75" x14ac:dyDescent="0.25">
      <c r="A6" s="178"/>
      <c r="B6" s="179"/>
      <c r="C6" s="180"/>
      <c r="D6" s="5" t="s">
        <v>1</v>
      </c>
      <c r="E6" s="5" t="s">
        <v>2</v>
      </c>
      <c r="F6" s="5" t="s">
        <v>3</v>
      </c>
      <c r="G6" s="178"/>
      <c r="H6" s="5" t="s">
        <v>17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8</v>
      </c>
      <c r="N6" s="5" t="s">
        <v>9</v>
      </c>
      <c r="O6" s="5" t="s">
        <v>10</v>
      </c>
      <c r="Q6"/>
      <c r="R6"/>
      <c r="S6"/>
      <c r="T6"/>
      <c r="U6"/>
      <c r="V6"/>
      <c r="W6"/>
      <c r="X6"/>
      <c r="Y6"/>
      <c r="Z6"/>
      <c r="AA6"/>
    </row>
    <row r="7" spans="1:27" s="9" customFormat="1" ht="17.25" customHeight="1" x14ac:dyDescent="0.2">
      <c r="A7" s="172" t="s">
        <v>28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9" customFormat="1" ht="29.25" customHeight="1" x14ac:dyDescent="0.2">
      <c r="A8" s="92">
        <v>227</v>
      </c>
      <c r="B8" s="7" t="s">
        <v>117</v>
      </c>
      <c r="C8" s="92">
        <v>55</v>
      </c>
      <c r="D8" s="15">
        <v>8.56</v>
      </c>
      <c r="E8" s="15">
        <v>4.1100000000000003</v>
      </c>
      <c r="F8" s="15">
        <v>0.46</v>
      </c>
      <c r="G8" s="15">
        <v>73</v>
      </c>
      <c r="H8" s="15">
        <v>0.04</v>
      </c>
      <c r="I8" s="15">
        <v>0.42</v>
      </c>
      <c r="J8" s="15">
        <v>24.5</v>
      </c>
      <c r="K8" s="15">
        <v>0.24</v>
      </c>
      <c r="L8" s="15">
        <v>7.73</v>
      </c>
      <c r="M8" s="15">
        <v>97.84</v>
      </c>
      <c r="N8" s="15">
        <v>22.92</v>
      </c>
      <c r="O8" s="15">
        <v>0.45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s="9" customFormat="1" ht="12.75" x14ac:dyDescent="0.2">
      <c r="A9" s="6">
        <v>312</v>
      </c>
      <c r="B9" s="7" t="s">
        <v>13</v>
      </c>
      <c r="C9" s="104">
        <v>150</v>
      </c>
      <c r="D9" s="8">
        <f>20.473/100*15</f>
        <v>3.0709499999999998</v>
      </c>
      <c r="E9" s="8">
        <f>32.01/100/15</f>
        <v>2.1340000000000001E-2</v>
      </c>
      <c r="F9" s="8">
        <f>136.26/100*15</f>
        <v>20.438999999999997</v>
      </c>
      <c r="G9" s="8">
        <f>915/100*15</f>
        <v>137.25</v>
      </c>
      <c r="H9" s="8">
        <f>0.93/100*15</f>
        <v>0.13950000000000001</v>
      </c>
      <c r="I9" s="8">
        <f>121.07/100*15</f>
        <v>18.160499999999999</v>
      </c>
      <c r="J9" s="8"/>
      <c r="K9" s="8">
        <f>1.21/100*15</f>
        <v>0.18149999999999999</v>
      </c>
      <c r="L9" s="8">
        <f>246.5/100*15</f>
        <v>36.974999999999994</v>
      </c>
      <c r="M9" s="8">
        <f>577.3/100*15</f>
        <v>86.594999999999999</v>
      </c>
      <c r="N9" s="8">
        <f>185/100*15</f>
        <v>27.75</v>
      </c>
      <c r="O9" s="8">
        <f>6.73/100*15</f>
        <v>1.0095000000000001</v>
      </c>
    </row>
    <row r="10" spans="1:27" s="9" customFormat="1" ht="12.75" x14ac:dyDescent="0.2">
      <c r="A10" s="6">
        <v>377</v>
      </c>
      <c r="B10" s="7" t="s">
        <v>115</v>
      </c>
      <c r="C10" s="92" t="s">
        <v>116</v>
      </c>
      <c r="D10" s="15">
        <v>0.53</v>
      </c>
      <c r="E10" s="15"/>
      <c r="F10" s="15">
        <v>9.8699999999999992</v>
      </c>
      <c r="G10" s="15">
        <v>41.6</v>
      </c>
      <c r="H10" s="15">
        <f>0.01/5</f>
        <v>2E-3</v>
      </c>
      <c r="I10" s="15">
        <v>2.13</v>
      </c>
      <c r="J10" s="15">
        <f>0</f>
        <v>0</v>
      </c>
      <c r="K10" s="15">
        <f>0</f>
        <v>0</v>
      </c>
      <c r="L10" s="15">
        <v>15.33</v>
      </c>
      <c r="M10" s="15">
        <v>23.1</v>
      </c>
      <c r="N10" s="15">
        <v>12.27</v>
      </c>
      <c r="O10" s="15">
        <v>2.13</v>
      </c>
    </row>
    <row r="11" spans="1:27" s="9" customFormat="1" ht="12.75" x14ac:dyDescent="0.2">
      <c r="A11" s="33"/>
      <c r="B11" s="7" t="s">
        <v>14</v>
      </c>
      <c r="C11" s="92">
        <v>40</v>
      </c>
      <c r="D11" s="15">
        <v>2.2400000000000002</v>
      </c>
      <c r="E11" s="15">
        <v>0.88</v>
      </c>
      <c r="F11" s="15">
        <v>19.760000000000002</v>
      </c>
      <c r="G11" s="15">
        <v>91.96</v>
      </c>
      <c r="H11" s="15">
        <v>0.04</v>
      </c>
      <c r="I11" s="15"/>
      <c r="J11" s="15"/>
      <c r="K11" s="15">
        <v>0.36</v>
      </c>
      <c r="L11" s="15">
        <v>9.1999999999999993</v>
      </c>
      <c r="M11" s="15">
        <v>42.4</v>
      </c>
      <c r="N11" s="15">
        <v>10</v>
      </c>
      <c r="O11" s="15">
        <v>1.24</v>
      </c>
    </row>
    <row r="12" spans="1:27" s="49" customFormat="1" x14ac:dyDescent="0.25">
      <c r="A12" s="121">
        <v>2</v>
      </c>
      <c r="B12" s="7" t="s">
        <v>98</v>
      </c>
      <c r="C12" s="69">
        <v>60</v>
      </c>
      <c r="D12" s="105">
        <v>3.7</v>
      </c>
      <c r="E12" s="105">
        <v>8.5</v>
      </c>
      <c r="F12" s="105">
        <v>26.25</v>
      </c>
      <c r="G12" s="106">
        <v>155</v>
      </c>
      <c r="H12" s="105">
        <v>3.4000000000000002E-2</v>
      </c>
      <c r="I12" s="105"/>
      <c r="J12" s="105">
        <v>0.13</v>
      </c>
      <c r="K12" s="105">
        <v>0.44</v>
      </c>
      <c r="L12" s="105">
        <v>8.4</v>
      </c>
      <c r="M12" s="105">
        <v>22.5</v>
      </c>
      <c r="N12" s="105">
        <v>4.2</v>
      </c>
      <c r="O12" s="105">
        <v>0.35</v>
      </c>
      <c r="P12" s="66"/>
      <c r="Q12" s="66"/>
      <c r="R12" s="66"/>
      <c r="S12" s="66"/>
    </row>
    <row r="13" spans="1:27" s="47" customFormat="1" x14ac:dyDescent="0.2">
      <c r="A13" s="122"/>
      <c r="B13" s="33" t="s">
        <v>99</v>
      </c>
      <c r="C13" s="70">
        <v>50</v>
      </c>
      <c r="D13" s="154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6"/>
      <c r="P13" s="59"/>
      <c r="Q13" s="59"/>
      <c r="R13" s="67"/>
      <c r="S13" s="67"/>
    </row>
    <row r="14" spans="1:27" s="48" customFormat="1" x14ac:dyDescent="0.2">
      <c r="A14" s="123"/>
      <c r="B14" s="31" t="s">
        <v>79</v>
      </c>
      <c r="C14" s="70">
        <v>10</v>
      </c>
      <c r="D14" s="157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9"/>
      <c r="P14" s="59"/>
      <c r="Q14" s="59"/>
      <c r="R14" s="68"/>
      <c r="S14" s="68"/>
    </row>
    <row r="15" spans="1:27" s="48" customFormat="1" x14ac:dyDescent="0.2">
      <c r="A15" s="101"/>
      <c r="B15" s="7" t="s">
        <v>121</v>
      </c>
      <c r="C15" s="6" t="s">
        <v>82</v>
      </c>
      <c r="D15" s="8">
        <v>0.8</v>
      </c>
      <c r="E15" s="8">
        <v>0.35</v>
      </c>
      <c r="F15" s="8">
        <v>16.05</v>
      </c>
      <c r="G15" s="8">
        <v>73</v>
      </c>
      <c r="H15" s="8"/>
      <c r="I15" s="8">
        <v>21.25</v>
      </c>
      <c r="J15" s="8"/>
      <c r="K15" s="8"/>
      <c r="L15" s="8">
        <v>19.5</v>
      </c>
      <c r="M15" s="8"/>
      <c r="N15" s="8">
        <v>19</v>
      </c>
      <c r="O15" s="8"/>
      <c r="P15" s="59"/>
      <c r="Q15" s="59"/>
      <c r="R15" s="68"/>
      <c r="S15" s="68"/>
    </row>
    <row r="16" spans="1:27" s="23" customFormat="1" ht="16.149999999999999" customHeight="1" x14ac:dyDescent="0.2">
      <c r="A16" s="79" t="s">
        <v>11</v>
      </c>
      <c r="B16" s="80"/>
      <c r="C16" s="80"/>
      <c r="D16" s="87">
        <v>18.899999999999999</v>
      </c>
      <c r="E16" s="87">
        <v>13.85</v>
      </c>
      <c r="F16" s="87">
        <v>92.83</v>
      </c>
      <c r="G16" s="87">
        <v>571.80999999999995</v>
      </c>
      <c r="H16" s="87"/>
      <c r="I16" s="87"/>
      <c r="J16" s="87"/>
      <c r="K16" s="87"/>
      <c r="L16" s="87"/>
      <c r="M16" s="87"/>
      <c r="N16" s="87"/>
      <c r="O16" s="87"/>
      <c r="Q16" s="35"/>
      <c r="R16" s="35"/>
      <c r="S16" s="37"/>
      <c r="T16" s="38"/>
      <c r="U16" s="38"/>
      <c r="V16" s="38"/>
      <c r="W16" s="39"/>
      <c r="X16" s="39"/>
      <c r="Y16" s="39"/>
      <c r="Z16" s="39"/>
      <c r="AA16" s="39"/>
    </row>
    <row r="17" spans="2:8" x14ac:dyDescent="0.25">
      <c r="B17" s="72"/>
      <c r="C17" s="16"/>
      <c r="D17" s="16"/>
      <c r="E17" s="16"/>
      <c r="F17" s="16"/>
      <c r="G17" s="16"/>
      <c r="H17" s="16"/>
    </row>
    <row r="18" spans="2:8" x14ac:dyDescent="0.25">
      <c r="B18" s="72"/>
      <c r="C18" s="16"/>
      <c r="D18" s="16"/>
      <c r="E18" s="16"/>
      <c r="F18" s="16"/>
      <c r="G18" s="16"/>
      <c r="H18" s="16"/>
    </row>
    <row r="19" spans="2:8" x14ac:dyDescent="0.25">
      <c r="B19" s="72"/>
      <c r="C19" s="16"/>
      <c r="D19" s="16"/>
      <c r="E19" s="16"/>
      <c r="F19" s="16"/>
      <c r="G19" s="16"/>
      <c r="H19" s="16"/>
    </row>
    <row r="20" spans="2:8" x14ac:dyDescent="0.25">
      <c r="B20" s="72"/>
      <c r="C20" s="16"/>
      <c r="D20" s="16"/>
      <c r="E20" s="16"/>
      <c r="F20" s="16"/>
      <c r="G20" s="16"/>
      <c r="H20" s="16"/>
    </row>
    <row r="21" spans="2:8" x14ac:dyDescent="0.25">
      <c r="B21" s="72"/>
      <c r="C21" s="16"/>
      <c r="D21" s="16"/>
      <c r="E21" s="16"/>
      <c r="F21" s="16"/>
      <c r="G21" s="16"/>
      <c r="H21" s="16"/>
    </row>
    <row r="22" spans="2:8" x14ac:dyDescent="0.25">
      <c r="B22" s="72"/>
      <c r="C22" s="16"/>
      <c r="D22" s="16"/>
      <c r="E22" s="16"/>
      <c r="F22" s="16"/>
      <c r="G22" s="16"/>
      <c r="H22" s="16"/>
    </row>
    <row r="23" spans="2:8" x14ac:dyDescent="0.25">
      <c r="B23" s="72"/>
      <c r="C23" s="16"/>
      <c r="D23" s="16"/>
      <c r="E23" s="16"/>
      <c r="F23" s="16"/>
      <c r="G23" s="16"/>
      <c r="H23" s="16"/>
    </row>
    <row r="24" spans="2:8" x14ac:dyDescent="0.25">
      <c r="B24" s="72"/>
      <c r="C24" s="16"/>
      <c r="D24" s="16"/>
      <c r="E24" s="16"/>
      <c r="F24" s="16"/>
      <c r="G24" s="16"/>
      <c r="H24" s="16"/>
    </row>
  </sheetData>
  <sheetProtection formatCells="0" formatColumns="0" formatRows="0" insertColumns="0" insertRows="0" insertHyperlinks="0" deleteColumns="0" deleteRows="0" sort="0" autoFilter="0" pivotTables="0"/>
  <mergeCells count="10">
    <mergeCell ref="A7:O7"/>
    <mergeCell ref="A12:A14"/>
    <mergeCell ref="D13:O14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O13"/>
  <sheetViews>
    <sheetView view="pageBreakPreview" zoomScale="98" zoomScaleNormal="90" zoomScaleSheetLayoutView="98" workbookViewId="0">
      <selection activeCell="B11" sqref="B11"/>
    </sheetView>
  </sheetViews>
  <sheetFormatPr defaultRowHeight="15" x14ac:dyDescent="0.25"/>
  <cols>
    <col min="1" max="1" width="16" customWidth="1"/>
    <col min="2" max="2" width="25.28515625" customWidth="1"/>
    <col min="7" max="7" width="12" customWidth="1"/>
    <col min="8" max="8" width="10.5703125" customWidth="1"/>
    <col min="9" max="9" width="11.85546875" customWidth="1"/>
    <col min="10" max="10" width="10.7109375" customWidth="1"/>
    <col min="13" max="13" width="9.5703125" bestFit="1" customWidth="1"/>
  </cols>
  <sheetData>
    <row r="1" spans="1:15" ht="15.75" x14ac:dyDescent="0.25">
      <c r="A1" s="12" t="s">
        <v>29</v>
      </c>
      <c r="B1" s="11" t="s">
        <v>37</v>
      </c>
    </row>
    <row r="2" spans="1:15" ht="15.75" x14ac:dyDescent="0.25">
      <c r="A2" s="12" t="s">
        <v>31</v>
      </c>
      <c r="B2" s="11" t="s">
        <v>49</v>
      </c>
    </row>
    <row r="3" spans="1:15" ht="15.75" x14ac:dyDescent="0.25">
      <c r="A3" s="12" t="s">
        <v>33</v>
      </c>
      <c r="B3" s="11" t="s">
        <v>34</v>
      </c>
    </row>
    <row r="4" spans="1:15" ht="31.5" x14ac:dyDescent="0.25">
      <c r="A4" s="12" t="s">
        <v>35</v>
      </c>
      <c r="B4" s="11" t="s">
        <v>36</v>
      </c>
    </row>
    <row r="5" spans="1:15" ht="15.75" x14ac:dyDescent="0.25">
      <c r="A5" s="177" t="s">
        <v>23</v>
      </c>
      <c r="B5" s="177" t="s">
        <v>18</v>
      </c>
      <c r="C5" s="177" t="s">
        <v>19</v>
      </c>
      <c r="D5" s="174" t="s">
        <v>26</v>
      </c>
      <c r="E5" s="175"/>
      <c r="F5" s="176"/>
      <c r="G5" s="177" t="s">
        <v>0</v>
      </c>
      <c r="H5" s="174" t="s">
        <v>25</v>
      </c>
      <c r="I5" s="175"/>
      <c r="J5" s="175"/>
      <c r="K5" s="176"/>
      <c r="L5" s="174" t="s">
        <v>24</v>
      </c>
      <c r="M5" s="175"/>
      <c r="N5" s="175"/>
      <c r="O5" s="176"/>
    </row>
    <row r="6" spans="1:15" ht="15.75" x14ac:dyDescent="0.25">
      <c r="A6" s="178"/>
      <c r="B6" s="179"/>
      <c r="C6" s="180"/>
      <c r="D6" s="5" t="s">
        <v>1</v>
      </c>
      <c r="E6" s="5" t="s">
        <v>2</v>
      </c>
      <c r="F6" s="5" t="s">
        <v>3</v>
      </c>
      <c r="G6" s="178"/>
      <c r="H6" s="5" t="s">
        <v>17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8</v>
      </c>
      <c r="N6" s="5" t="s">
        <v>9</v>
      </c>
      <c r="O6" s="5" t="s">
        <v>10</v>
      </c>
    </row>
    <row r="7" spans="1:15" s="9" customFormat="1" ht="15.75" customHeight="1" x14ac:dyDescent="0.2">
      <c r="A7" s="172" t="s">
        <v>28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1:15" s="9" customFormat="1" ht="27.75" customHeight="1" x14ac:dyDescent="0.2">
      <c r="A8" s="92">
        <v>309</v>
      </c>
      <c r="B8" s="7" t="s">
        <v>12</v>
      </c>
      <c r="C8" s="92">
        <v>150</v>
      </c>
      <c r="D8" s="15">
        <f>36.78/100*15</f>
        <v>5.5170000000000003</v>
      </c>
      <c r="E8" s="15">
        <f>30.1/100*15</f>
        <v>4.5149999999999997</v>
      </c>
      <c r="F8" s="15">
        <f>176.3/100*15</f>
        <v>26.445</v>
      </c>
      <c r="G8" s="15">
        <f>1123/100*15</f>
        <v>168.45000000000002</v>
      </c>
      <c r="H8" s="15">
        <f>0.37/100*15</f>
        <v>5.5500000000000001E-2</v>
      </c>
      <c r="I8" s="15"/>
      <c r="J8" s="15"/>
      <c r="K8" s="15">
        <f>6.46/100*15</f>
        <v>0.96900000000000008</v>
      </c>
      <c r="L8" s="15">
        <f>32.4/100*15</f>
        <v>4.8600000000000003</v>
      </c>
      <c r="M8" s="15">
        <f>247.8/100*15</f>
        <v>37.17</v>
      </c>
      <c r="N8" s="15">
        <f>140.8/100*15</f>
        <v>21.12</v>
      </c>
      <c r="O8" s="15">
        <f>7.37/100*15</f>
        <v>1.1054999999999999</v>
      </c>
    </row>
    <row r="9" spans="1:15" s="22" customFormat="1" ht="12.75" x14ac:dyDescent="0.2">
      <c r="A9" s="92">
        <v>278</v>
      </c>
      <c r="B9" s="7" t="s">
        <v>15</v>
      </c>
      <c r="C9" s="92">
        <v>110</v>
      </c>
      <c r="D9" s="15">
        <v>7.83</v>
      </c>
      <c r="E9" s="15">
        <v>8.75</v>
      </c>
      <c r="F9" s="15">
        <v>10.25</v>
      </c>
      <c r="G9" s="15">
        <v>151</v>
      </c>
      <c r="H9" s="15">
        <v>0.05</v>
      </c>
      <c r="I9" s="15">
        <v>0.72</v>
      </c>
      <c r="J9" s="15">
        <v>33.92</v>
      </c>
      <c r="K9" s="15">
        <v>0.55000000000000004</v>
      </c>
      <c r="L9" s="15">
        <v>27.95</v>
      </c>
      <c r="M9" s="15">
        <v>88.37</v>
      </c>
      <c r="N9" s="15">
        <v>18.329999999999998</v>
      </c>
      <c r="O9" s="15">
        <v>0.87</v>
      </c>
    </row>
    <row r="10" spans="1:15" s="13" customFormat="1" x14ac:dyDescent="0.25">
      <c r="A10" s="92">
        <v>342</v>
      </c>
      <c r="B10" s="7" t="s">
        <v>104</v>
      </c>
      <c r="C10" s="92">
        <v>200</v>
      </c>
      <c r="D10" s="15">
        <f>0.8/5</f>
        <v>0.16</v>
      </c>
      <c r="E10" s="15">
        <f>0.8/5</f>
        <v>0.16</v>
      </c>
      <c r="F10" s="15">
        <f>139.4/5</f>
        <v>27.880000000000003</v>
      </c>
      <c r="G10" s="15">
        <f>573/5</f>
        <v>114.6</v>
      </c>
      <c r="H10" s="15">
        <f>0.06</f>
        <v>0.06</v>
      </c>
      <c r="I10" s="15">
        <f>4.5/5</f>
        <v>0.9</v>
      </c>
      <c r="J10" s="15">
        <f>0</f>
        <v>0</v>
      </c>
      <c r="K10" s="15">
        <f>0.4/5</f>
        <v>0.08</v>
      </c>
      <c r="L10" s="15">
        <f>70.9/5</f>
        <v>14.180000000000001</v>
      </c>
      <c r="M10" s="15">
        <f>22/5</f>
        <v>4.4000000000000004</v>
      </c>
      <c r="N10" s="15">
        <f>25.7/5</f>
        <v>5.14</v>
      </c>
      <c r="O10" s="15">
        <f>4.76/5</f>
        <v>0.95199999999999996</v>
      </c>
    </row>
    <row r="11" spans="1:15" s="13" customFormat="1" x14ac:dyDescent="0.25">
      <c r="A11" s="33"/>
      <c r="B11" s="7" t="s">
        <v>14</v>
      </c>
      <c r="C11" s="92">
        <v>40</v>
      </c>
      <c r="D11" s="15">
        <v>2.2400000000000002</v>
      </c>
      <c r="E11" s="15">
        <v>0.88</v>
      </c>
      <c r="F11" s="15">
        <v>19.760000000000002</v>
      </c>
      <c r="G11" s="15">
        <v>91.96</v>
      </c>
      <c r="H11" s="15">
        <v>0.04</v>
      </c>
      <c r="I11" s="15"/>
      <c r="J11" s="15"/>
      <c r="K11" s="15">
        <v>0.36</v>
      </c>
      <c r="L11" s="15">
        <v>9.1999999999999993</v>
      </c>
      <c r="M11" s="15">
        <v>42.4</v>
      </c>
      <c r="N11" s="15">
        <v>10</v>
      </c>
      <c r="O11" s="15">
        <v>1.24</v>
      </c>
    </row>
    <row r="12" spans="1:15" s="13" customFormat="1" x14ac:dyDescent="0.25">
      <c r="A12" s="33"/>
      <c r="B12" s="7" t="s">
        <v>121</v>
      </c>
      <c r="C12" s="6" t="s">
        <v>82</v>
      </c>
      <c r="D12" s="8">
        <v>0.8</v>
      </c>
      <c r="E12" s="8">
        <v>0.35</v>
      </c>
      <c r="F12" s="8">
        <v>16.05</v>
      </c>
      <c r="G12" s="8">
        <v>73</v>
      </c>
      <c r="H12" s="8"/>
      <c r="I12" s="8">
        <v>21.25</v>
      </c>
      <c r="J12" s="8"/>
      <c r="K12" s="8"/>
      <c r="L12" s="8">
        <v>19.5</v>
      </c>
      <c r="M12" s="8"/>
      <c r="N12" s="8">
        <v>19</v>
      </c>
      <c r="O12" s="8"/>
    </row>
    <row r="13" spans="1:15" s="23" customFormat="1" ht="16.149999999999999" customHeight="1" x14ac:dyDescent="0.2">
      <c r="A13" s="79" t="s">
        <v>11</v>
      </c>
      <c r="B13" s="80"/>
      <c r="C13" s="80"/>
      <c r="D13" s="87">
        <f>SUM(D8:D12)</f>
        <v>16.547000000000001</v>
      </c>
      <c r="E13" s="87">
        <f>SUM(E8:E12)</f>
        <v>14.655000000000001</v>
      </c>
      <c r="F13" s="87">
        <f>SUM(F8:F12)</f>
        <v>100.38500000000001</v>
      </c>
      <c r="G13" s="87">
        <f>SUM(G8:G12)</f>
        <v>599.0100000000001</v>
      </c>
      <c r="H13" s="82"/>
      <c r="I13" s="82"/>
      <c r="J13" s="82"/>
      <c r="K13" s="82"/>
      <c r="L13" s="82"/>
      <c r="M13" s="82"/>
      <c r="N13" s="82"/>
      <c r="O13" s="82"/>
    </row>
  </sheetData>
  <sheetProtection formatCells="0" formatColumns="0" formatRows="0" insertColumns="0" insertRows="0" insertHyperlinks="0" deleteColumns="0" deleteRows="0" sort="0" autoFilter="0" pivotTables="0"/>
  <mergeCells count="8"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S16"/>
  <sheetViews>
    <sheetView view="pageBreakPreview" zoomScale="98" zoomScaleNormal="100" zoomScaleSheetLayoutView="98" workbookViewId="0">
      <selection activeCell="B14" sqref="B14"/>
    </sheetView>
  </sheetViews>
  <sheetFormatPr defaultRowHeight="15" x14ac:dyDescent="0.25"/>
  <cols>
    <col min="1" max="1" width="12.7109375" customWidth="1"/>
    <col min="2" max="2" width="27.28515625" bestFit="1" customWidth="1"/>
    <col min="6" max="6" width="10.7109375" bestFit="1" customWidth="1"/>
    <col min="7" max="7" width="9.5703125" bestFit="1" customWidth="1"/>
    <col min="9" max="9" width="9.5703125" bestFit="1" customWidth="1"/>
    <col min="10" max="10" width="10.42578125" customWidth="1"/>
  </cols>
  <sheetData>
    <row r="1" spans="1:19" ht="15.75" x14ac:dyDescent="0.25">
      <c r="A1" s="12" t="s">
        <v>29</v>
      </c>
      <c r="B1" s="11" t="s">
        <v>39</v>
      </c>
    </row>
    <row r="2" spans="1:19" ht="15.75" x14ac:dyDescent="0.25">
      <c r="A2" s="12" t="s">
        <v>31</v>
      </c>
      <c r="B2" s="11" t="s">
        <v>49</v>
      </c>
    </row>
    <row r="3" spans="1:19" ht="15.75" x14ac:dyDescent="0.25">
      <c r="A3" s="12" t="s">
        <v>33</v>
      </c>
      <c r="B3" s="11" t="s">
        <v>34</v>
      </c>
    </row>
    <row r="4" spans="1:19" ht="31.5" x14ac:dyDescent="0.25">
      <c r="A4" s="12" t="s">
        <v>35</v>
      </c>
      <c r="B4" s="11" t="s">
        <v>36</v>
      </c>
    </row>
    <row r="5" spans="1:19" ht="15.75" x14ac:dyDescent="0.25">
      <c r="A5" s="177" t="s">
        <v>23</v>
      </c>
      <c r="B5" s="177" t="s">
        <v>18</v>
      </c>
      <c r="C5" s="177" t="s">
        <v>19</v>
      </c>
      <c r="D5" s="174" t="s">
        <v>26</v>
      </c>
      <c r="E5" s="175"/>
      <c r="F5" s="176"/>
      <c r="G5" s="177" t="s">
        <v>0</v>
      </c>
      <c r="H5" s="174" t="s">
        <v>25</v>
      </c>
      <c r="I5" s="175"/>
      <c r="J5" s="175"/>
      <c r="K5" s="176"/>
      <c r="L5" s="174" t="s">
        <v>24</v>
      </c>
      <c r="M5" s="175"/>
      <c r="N5" s="175"/>
      <c r="O5" s="176"/>
    </row>
    <row r="6" spans="1:19" ht="15.75" x14ac:dyDescent="0.25">
      <c r="A6" s="178"/>
      <c r="B6" s="179"/>
      <c r="C6" s="180"/>
      <c r="D6" s="5" t="s">
        <v>1</v>
      </c>
      <c r="E6" s="5" t="s">
        <v>2</v>
      </c>
      <c r="F6" s="5" t="s">
        <v>3</v>
      </c>
      <c r="G6" s="178"/>
      <c r="H6" s="5" t="s">
        <v>17</v>
      </c>
      <c r="I6" s="5" t="s">
        <v>4</v>
      </c>
      <c r="J6" s="5" t="s">
        <v>5</v>
      </c>
      <c r="K6" s="5" t="s">
        <v>6</v>
      </c>
      <c r="L6" s="5" t="s">
        <v>7</v>
      </c>
      <c r="M6" s="5" t="s">
        <v>8</v>
      </c>
      <c r="N6" s="5" t="s">
        <v>9</v>
      </c>
      <c r="O6" s="5" t="s">
        <v>10</v>
      </c>
    </row>
    <row r="7" spans="1:19" s="9" customFormat="1" ht="16.149999999999999" customHeight="1" x14ac:dyDescent="0.2">
      <c r="A7" s="181" t="s">
        <v>28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3"/>
    </row>
    <row r="8" spans="1:19" s="13" customFormat="1" ht="24" x14ac:dyDescent="0.25">
      <c r="A8" s="78">
        <v>182</v>
      </c>
      <c r="B8" s="32" t="s">
        <v>96</v>
      </c>
      <c r="C8" s="78" t="s">
        <v>92</v>
      </c>
      <c r="D8" s="15">
        <v>7.51</v>
      </c>
      <c r="E8" s="15">
        <v>11.72</v>
      </c>
      <c r="F8" s="15">
        <v>37.049999999999997</v>
      </c>
      <c r="G8" s="15">
        <v>285</v>
      </c>
      <c r="H8" s="15">
        <v>0.19</v>
      </c>
      <c r="I8" s="15">
        <v>1.17</v>
      </c>
      <c r="J8" s="15">
        <v>58</v>
      </c>
      <c r="K8" s="15">
        <v>0.21</v>
      </c>
      <c r="L8" s="15">
        <v>138.1</v>
      </c>
      <c r="M8" s="15">
        <v>184.37</v>
      </c>
      <c r="N8" s="15">
        <v>47.6</v>
      </c>
      <c r="O8" s="15">
        <v>1.23</v>
      </c>
    </row>
    <row r="9" spans="1:19" s="13" customFormat="1" ht="25.5" x14ac:dyDescent="0.25">
      <c r="A9" s="14">
        <v>209</v>
      </c>
      <c r="B9" s="7" t="s">
        <v>48</v>
      </c>
      <c r="C9" s="14">
        <v>40</v>
      </c>
      <c r="D9" s="15">
        <v>5.08</v>
      </c>
      <c r="E9" s="15">
        <v>4.5999999999999996</v>
      </c>
      <c r="F9" s="15">
        <v>0.28000000000000003</v>
      </c>
      <c r="G9" s="15">
        <v>63</v>
      </c>
      <c r="H9" s="15">
        <v>0.03</v>
      </c>
      <c r="I9" s="15"/>
      <c r="J9" s="15">
        <v>100</v>
      </c>
      <c r="K9" s="15">
        <v>0.24</v>
      </c>
      <c r="L9" s="15">
        <v>22</v>
      </c>
      <c r="M9" s="15">
        <v>76.8</v>
      </c>
      <c r="N9" s="15">
        <v>4.8</v>
      </c>
      <c r="O9" s="15">
        <v>1</v>
      </c>
    </row>
    <row r="10" spans="1:19" s="49" customFormat="1" ht="25.5" x14ac:dyDescent="0.25">
      <c r="A10" s="121">
        <v>3</v>
      </c>
      <c r="B10" s="7" t="s">
        <v>50</v>
      </c>
      <c r="C10" s="92">
        <v>50</v>
      </c>
      <c r="D10" s="15">
        <v>5.8</v>
      </c>
      <c r="E10" s="15">
        <v>8.3000000000000007</v>
      </c>
      <c r="F10" s="15">
        <v>14.83</v>
      </c>
      <c r="G10" s="15">
        <v>157</v>
      </c>
      <c r="H10" s="15">
        <v>0.04</v>
      </c>
      <c r="I10" s="15">
        <v>0.11</v>
      </c>
      <c r="J10" s="15">
        <v>59</v>
      </c>
      <c r="K10" s="15">
        <v>0.47</v>
      </c>
      <c r="L10" s="15">
        <v>139.19999999999999</v>
      </c>
      <c r="M10" s="15">
        <v>96</v>
      </c>
      <c r="N10" s="15">
        <v>9.4499999999999993</v>
      </c>
      <c r="O10" s="15">
        <v>0.49</v>
      </c>
      <c r="P10" s="66"/>
      <c r="Q10" s="66"/>
      <c r="R10" s="66"/>
      <c r="S10" s="66"/>
    </row>
    <row r="11" spans="1:19" s="47" customFormat="1" x14ac:dyDescent="0.2">
      <c r="A11" s="122"/>
      <c r="B11" s="33" t="s">
        <v>56</v>
      </c>
      <c r="C11" s="40">
        <v>30</v>
      </c>
      <c r="D11" s="124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6"/>
      <c r="P11" s="59"/>
      <c r="Q11" s="59"/>
      <c r="R11" s="67"/>
      <c r="S11" s="67"/>
    </row>
    <row r="12" spans="1:19" s="48" customFormat="1" x14ac:dyDescent="0.2">
      <c r="A12" s="122"/>
      <c r="B12" s="33" t="s">
        <v>79</v>
      </c>
      <c r="C12" s="40">
        <v>5</v>
      </c>
      <c r="D12" s="127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9"/>
      <c r="P12" s="59"/>
      <c r="Q12" s="59"/>
      <c r="R12" s="68"/>
      <c r="S12" s="68"/>
    </row>
    <row r="13" spans="1:19" s="13" customFormat="1" x14ac:dyDescent="0.25">
      <c r="A13" s="123"/>
      <c r="B13" s="33" t="s">
        <v>93</v>
      </c>
      <c r="C13" s="40">
        <v>15</v>
      </c>
      <c r="D13" s="130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2"/>
    </row>
    <row r="14" spans="1:19" s="13" customFormat="1" x14ac:dyDescent="0.25">
      <c r="A14" s="92">
        <v>375</v>
      </c>
      <c r="B14" s="7" t="s">
        <v>103</v>
      </c>
      <c r="C14" s="92">
        <v>200</v>
      </c>
      <c r="D14" s="15">
        <f>2/5</f>
        <v>0.4</v>
      </c>
      <c r="E14" s="15">
        <f>0.51/5</f>
        <v>0.10200000000000001</v>
      </c>
      <c r="F14" s="15">
        <f>0.4/5</f>
        <v>0.08</v>
      </c>
      <c r="G14" s="15">
        <f>32/5</f>
        <v>6.4</v>
      </c>
      <c r="H14" s="15">
        <f>0.01/5</f>
        <v>2E-3</v>
      </c>
      <c r="I14" s="15">
        <f>1/5</f>
        <v>0.2</v>
      </c>
      <c r="J14" s="15">
        <f>0</f>
        <v>0</v>
      </c>
      <c r="K14" s="15">
        <f>0</f>
        <v>0</v>
      </c>
      <c r="L14" s="15">
        <f>98.1/5</f>
        <v>19.619999999999997</v>
      </c>
      <c r="M14" s="15">
        <f>82.4/5</f>
        <v>16.48</v>
      </c>
      <c r="N14" s="15">
        <f>44/5</f>
        <v>8.8000000000000007</v>
      </c>
      <c r="O14" s="15">
        <f>8.2/5</f>
        <v>1.64</v>
      </c>
    </row>
    <row r="15" spans="1:19" s="13" customFormat="1" x14ac:dyDescent="0.25">
      <c r="A15" s="92"/>
      <c r="B15" s="7" t="s">
        <v>121</v>
      </c>
      <c r="C15" s="6" t="s">
        <v>82</v>
      </c>
      <c r="D15" s="8">
        <v>0.8</v>
      </c>
      <c r="E15" s="8">
        <v>0.35</v>
      </c>
      <c r="F15" s="8">
        <v>16.05</v>
      </c>
      <c r="G15" s="8">
        <v>73</v>
      </c>
      <c r="H15" s="8"/>
      <c r="I15" s="8">
        <v>21.25</v>
      </c>
      <c r="J15" s="8"/>
      <c r="K15" s="8"/>
      <c r="L15" s="8">
        <v>19.5</v>
      </c>
      <c r="M15" s="8"/>
      <c r="N15" s="8">
        <v>19</v>
      </c>
      <c r="O15" s="8"/>
    </row>
    <row r="16" spans="1:19" s="23" customFormat="1" ht="16.149999999999999" customHeight="1" x14ac:dyDescent="0.2">
      <c r="A16" s="79" t="s">
        <v>11</v>
      </c>
      <c r="B16" s="80"/>
      <c r="C16" s="80"/>
      <c r="D16" s="87">
        <v>19.59</v>
      </c>
      <c r="E16" s="87">
        <v>25.07</v>
      </c>
      <c r="F16" s="87">
        <v>68.290000000000006</v>
      </c>
      <c r="G16" s="87">
        <v>584.4</v>
      </c>
      <c r="H16" s="87"/>
      <c r="I16" s="87"/>
      <c r="J16" s="87"/>
      <c r="K16" s="87"/>
      <c r="L16" s="87"/>
      <c r="M16" s="87"/>
      <c r="N16" s="87"/>
      <c r="O16" s="87"/>
      <c r="P16" s="35"/>
      <c r="Q16" s="35"/>
    </row>
  </sheetData>
  <sheetProtection formatCells="0" formatColumns="0" formatRows="0" insertColumns="0" insertRows="0" insertHyperlinks="0" deleteColumns="0" deleteRows="0" sort="0" autoFilter="0" pivotTables="0"/>
  <mergeCells count="10">
    <mergeCell ref="A7:O7"/>
    <mergeCell ref="A10:A13"/>
    <mergeCell ref="D11:O13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Дедушка Юра</cp:lastModifiedBy>
  <cp:lastPrinted>2021-03-31T11:50:32Z</cp:lastPrinted>
  <dcterms:created xsi:type="dcterms:W3CDTF">2017-02-04T19:31:45Z</dcterms:created>
  <dcterms:modified xsi:type="dcterms:W3CDTF">2026-08-24T20:14:13Z</dcterms:modified>
  <cp:contentStatus/>
</cp:coreProperties>
</file>